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lcponline.sharepoint.com/teams/Baptist863/Shared Documents/Act - FRS102/"/>
    </mc:Choice>
  </mc:AlternateContent>
  <xr:revisionPtr revIDLastSave="34" documentId="8_{224F33F5-C107-4A25-835D-C5239199A442}" xr6:coauthVersionLast="46" xr6:coauthVersionMax="46" xr10:uidLastSave="{2FC6170A-1209-441D-8CC4-87773115BDF6}"/>
  <workbookProtection workbookAlgorithmName="SHA-512" workbookHashValue="lx3JLTFJZPFmjjhQK73yZDxtM65ee0/KEJ7FBf/byUJgOBEn6wUHughnCDkej0KlZ1/+ErqfpYSoV0di5JxWUA==" workbookSaltValue="R7gn8/r6wNCXe2wSuIrq9Q==" workbookSpinCount="100000" lockStructure="1"/>
  <bookViews>
    <workbookView xWindow="-108" yWindow="-108" windowWidth="29016" windowHeight="15816" xr2:uid="{00000000-000D-0000-FFFF-FFFF00000000}"/>
  </bookViews>
  <sheets>
    <sheet name="Instructions" sheetId="8" r:id="rId1"/>
    <sheet name="Inputs" sheetId="1" r:id="rId2"/>
    <sheet name="Disclosure" sheetId="13" r:id="rId3"/>
    <sheet name="Basis" sheetId="3" state="hidden" r:id="rId4"/>
    <sheet name="Calcs - accounting date" sheetId="2" state="hidden" r:id="rId5"/>
    <sheet name="Calcs - accounting date prev" sheetId="15" state="hidden" r:id="rId6"/>
    <sheet name="Calcs - accounting date prev2" sheetId="16" state="hidden" r:id="rId7"/>
    <sheet name="Yields" sheetId="9" state="hidden" r:id="rId8"/>
    <sheet name="Version history" sheetId="14" state="hidden" r:id="rId9"/>
  </sheets>
  <definedNames>
    <definedName name="Accounting_date">Inputs!$B$6</definedName>
    <definedName name="Accounting_date_prev">Basis!$C$5</definedName>
    <definedName name="Accounting_date_prev2">Basis!$D$5</definedName>
    <definedName name="Current_year_DRCs">Inputs!$C$30</definedName>
    <definedName name="DR">Basis!$B$6</definedName>
    <definedName name="DR_prev">Basis!$C$6</definedName>
    <definedName name="DR_prev2">Basis!$D$6</definedName>
    <definedName name="DR_yields">Yields!$C$5:$C$101</definedName>
    <definedName name="first_month">Inputs!$B$14</definedName>
    <definedName name="first_month_DRCs">Inputs!$C$14</definedName>
    <definedName name="first_month_DRCs_prevyr">Inputs!$C$28</definedName>
    <definedName name="first_month_DRCs_prevyr2">Inputs!$F$28</definedName>
    <definedName name="first_month_prev">Inputs!$B$28</definedName>
    <definedName name="first_month_prev2">Inputs!$E$28</definedName>
    <definedName name="Inflation">Basis!$B$7</definedName>
    <definedName name="Inflation_prev">Basis!$C$7</definedName>
    <definedName name="Inflation_prev2">Basis!$D$7</definedName>
    <definedName name="Inflation_yields">Yields!$D$5:$D$101</definedName>
    <definedName name="Liability">'Calcs - accounting date'!$R$43</definedName>
    <definedName name="Liability_prev">'Calcs - accounting date prev'!$R$43</definedName>
    <definedName name="Liability_prev2">'Calcs - accounting date prev2'!$R$43</definedName>
    <definedName name="percentage_cont">Inputs!$B$9</definedName>
    <definedName name="Prev_year_DRCs">Inputs!$F$30</definedName>
    <definedName name="_xlnm.Print_Area" localSheetId="4">'Calcs - accounting date'!$K$1:$S$49</definedName>
    <definedName name="_xlnm.Print_Area" localSheetId="5">'Calcs - accounting date prev'!$K$1:$S$49</definedName>
    <definedName name="_xlnm.Print_Area" localSheetId="6">'Calcs - accounting date prev2'!$K$1:$S$49</definedName>
    <definedName name="_xlnm.Print_Area" localSheetId="2">Disclosure!$A$1:$D$62</definedName>
    <definedName name="_xlnm.Print_Area" localSheetId="1">Inputs!$A$1:$H$43</definedName>
    <definedName name="_xlnm.Print_Area" localSheetId="0">Instructions!$A$1:$A$90</definedName>
    <definedName name="Yield_dates">Yields!$B$5:$B$101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B90" i="9" l="1"/>
  <c r="B91" i="9" s="1"/>
  <c r="B92" i="9" s="1"/>
  <c r="B93" i="9" s="1"/>
  <c r="B94" i="9" s="1"/>
  <c r="B95" i="9" s="1"/>
  <c r="B96" i="9" s="1"/>
  <c r="C6" i="1" l="1"/>
  <c r="D11" i="16" l="1"/>
  <c r="D11" i="15"/>
  <c r="D11" i="2"/>
  <c r="B7" i="16" l="1"/>
  <c r="B6" i="16"/>
  <c r="B5" i="16"/>
  <c r="B4" i="16"/>
  <c r="B7" i="15"/>
  <c r="B6" i="15"/>
  <c r="B5" i="15"/>
  <c r="B4" i="15"/>
  <c r="B7" i="2"/>
  <c r="B6" i="2"/>
  <c r="B5" i="2"/>
  <c r="B4" i="2"/>
  <c r="D42" i="9" l="1"/>
  <c r="D43" i="9"/>
  <c r="D44" i="9"/>
  <c r="D45" i="9"/>
  <c r="D46" i="9"/>
  <c r="D47" i="9"/>
  <c r="D50" i="9"/>
  <c r="D51" i="9"/>
  <c r="D52" i="9"/>
  <c r="D53" i="9"/>
  <c r="D55" i="9"/>
  <c r="D56" i="9"/>
  <c r="D58" i="9"/>
  <c r="D59" i="9"/>
  <c r="D60" i="9"/>
  <c r="D61" i="9"/>
  <c r="D62" i="9"/>
  <c r="D63" i="9"/>
  <c r="D64" i="9"/>
  <c r="D65" i="9"/>
  <c r="D66" i="9"/>
  <c r="D67" i="9"/>
  <c r="D68" i="9"/>
  <c r="D69" i="9"/>
  <c r="D70" i="9"/>
  <c r="D71" i="9"/>
  <c r="D72" i="9"/>
  <c r="D73" i="9"/>
  <c r="D76" i="9"/>
  <c r="D77" i="9"/>
  <c r="D78" i="9"/>
  <c r="D79" i="9"/>
  <c r="D80" i="9"/>
  <c r="D81" i="9"/>
  <c r="D82" i="9"/>
  <c r="D83" i="9"/>
  <c r="D84" i="9"/>
  <c r="D85" i="9"/>
  <c r="D86" i="9"/>
  <c r="D87" i="9"/>
  <c r="D88" i="9"/>
  <c r="C41" i="9" l="1"/>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40" i="9"/>
  <c r="D14" i="1" l="1"/>
  <c r="M12" i="16" l="1"/>
  <c r="M13" i="16" s="1"/>
  <c r="M12" i="15"/>
  <c r="M13" i="15" s="1"/>
  <c r="B53" i="13" l="1"/>
  <c r="C53" i="13" s="1"/>
  <c r="D53" i="13" s="1"/>
  <c r="A43" i="13"/>
  <c r="B42" i="13"/>
  <c r="B10" i="1"/>
  <c r="C4" i="1"/>
  <c r="G28" i="1"/>
  <c r="G27" i="1"/>
  <c r="G26" i="1"/>
  <c r="G25" i="1"/>
  <c r="G24" i="1"/>
  <c r="G23" i="1"/>
  <c r="G22" i="1"/>
  <c r="G21" i="1"/>
  <c r="G20" i="1"/>
  <c r="G19" i="1"/>
  <c r="G18" i="1"/>
  <c r="G17" i="1"/>
  <c r="D18" i="1"/>
  <c r="D19" i="1"/>
  <c r="D20" i="1"/>
  <c r="D21" i="1"/>
  <c r="D22" i="1"/>
  <c r="D23" i="1"/>
  <c r="D24" i="1"/>
  <c r="D25" i="1"/>
  <c r="D26" i="1"/>
  <c r="D27" i="1"/>
  <c r="D28" i="1"/>
  <c r="D17" i="1"/>
  <c r="B2" i="2"/>
  <c r="B9" i="2" s="1"/>
  <c r="M12" i="2"/>
  <c r="M13" i="2" s="1"/>
  <c r="B6" i="9"/>
  <c r="B7" i="9" s="1"/>
  <c r="B33" i="1"/>
  <c r="C33" i="1" s="1"/>
  <c r="B5" i="3"/>
  <c r="C5" i="3" s="1"/>
  <c r="B2" i="15" s="1"/>
  <c r="B1" i="3"/>
  <c r="F30" i="1"/>
  <c r="C30" i="1"/>
  <c r="B14" i="1"/>
  <c r="B11" i="2" s="1"/>
  <c r="B17" i="1"/>
  <c r="B18" i="1" s="1"/>
  <c r="B19" i="1" s="1"/>
  <c r="B20" i="1" s="1"/>
  <c r="B21" i="1" s="1"/>
  <c r="B22" i="1" s="1"/>
  <c r="B23" i="1" s="1"/>
  <c r="B24" i="1" s="1"/>
  <c r="B25" i="1" s="1"/>
  <c r="B26" i="1" s="1"/>
  <c r="B27" i="1" s="1"/>
  <c r="B28" i="1" s="1"/>
  <c r="E17" i="1" l="1"/>
  <c r="E18" i="1" s="1"/>
  <c r="E19" i="1" s="1"/>
  <c r="E20" i="1" s="1"/>
  <c r="E21" i="1" s="1"/>
  <c r="E22" i="1" s="1"/>
  <c r="E23" i="1" s="1"/>
  <c r="E24" i="1" s="1"/>
  <c r="E25" i="1" s="1"/>
  <c r="E26" i="1" s="1"/>
  <c r="E27" i="1" s="1"/>
  <c r="E28" i="1" s="1"/>
  <c r="B11" i="16" s="1"/>
  <c r="B11" i="15"/>
  <c r="A18" i="15"/>
  <c r="C18" i="15" s="1"/>
  <c r="B9" i="15"/>
  <c r="B10" i="2"/>
  <c r="A18" i="2"/>
  <c r="C18" i="2" s="1"/>
  <c r="I18" i="15"/>
  <c r="I19" i="15" s="1"/>
  <c r="I20" i="15" s="1"/>
  <c r="I21" i="15" s="1"/>
  <c r="E18" i="15"/>
  <c r="N18" i="2"/>
  <c r="N19" i="2" s="1"/>
  <c r="N20" i="2" s="1"/>
  <c r="N21" i="2" s="1"/>
  <c r="E18" i="2"/>
  <c r="B8" i="9"/>
  <c r="B9" i="9" s="1"/>
  <c r="B10" i="9" s="1"/>
  <c r="B11" i="9" s="1"/>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D33" i="1"/>
  <c r="M11" i="15"/>
  <c r="K18" i="15"/>
  <c r="K19" i="15" s="1"/>
  <c r="K20" i="15" s="1"/>
  <c r="K21" i="15" s="1"/>
  <c r="N18" i="15"/>
  <c r="N19" i="15" s="1"/>
  <c r="N20" i="15" s="1"/>
  <c r="N21" i="15" s="1"/>
  <c r="D5" i="3"/>
  <c r="B2" i="16" s="1"/>
  <c r="C42" i="13"/>
  <c r="B3" i="3"/>
  <c r="K18" i="2"/>
  <c r="K19" i="2" s="1"/>
  <c r="K20" i="2" s="1"/>
  <c r="M11" i="2"/>
  <c r="I18" i="2"/>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E19" i="15" l="1"/>
  <c r="G19" i="15" s="1"/>
  <c r="G18" i="15"/>
  <c r="A19" i="15"/>
  <c r="C19" i="15" s="1"/>
  <c r="E19" i="2"/>
  <c r="E20" i="2" s="1"/>
  <c r="G18" i="2"/>
  <c r="A19" i="2"/>
  <c r="A20" i="2" s="1"/>
  <c r="B9" i="16"/>
  <c r="B10" i="16" s="1"/>
  <c r="A18" i="16"/>
  <c r="B10" i="15"/>
  <c r="E18" i="16"/>
  <c r="B35" i="1"/>
  <c r="B7" i="3" s="1"/>
  <c r="D35" i="1"/>
  <c r="D7" i="3" s="1"/>
  <c r="C34" i="1"/>
  <c r="C6" i="3" s="1"/>
  <c r="C35" i="1"/>
  <c r="C7" i="3" s="1"/>
  <c r="D34" i="1"/>
  <c r="D6" i="3" s="1"/>
  <c r="M11" i="16"/>
  <c r="K18" i="16"/>
  <c r="K19" i="16" s="1"/>
  <c r="K20" i="16" s="1"/>
  <c r="K21" i="16" s="1"/>
  <c r="K22" i="16" s="1"/>
  <c r="K23" i="16" s="1"/>
  <c r="I18" i="16"/>
  <c r="I19" i="16" s="1"/>
  <c r="I20" i="16" s="1"/>
  <c r="N18" i="16"/>
  <c r="N19" i="16" s="1"/>
  <c r="N20" i="16" s="1"/>
  <c r="B34" i="1"/>
  <c r="B6" i="3" s="1"/>
  <c r="K22" i="15"/>
  <c r="I22" i="15"/>
  <c r="N22" i="15"/>
  <c r="B44" i="13"/>
  <c r="C44" i="13"/>
  <c r="K21" i="2"/>
  <c r="N22" i="2"/>
  <c r="E20" i="15" l="1"/>
  <c r="G19" i="2"/>
  <c r="A20" i="15"/>
  <c r="C19" i="2"/>
  <c r="C20" i="2"/>
  <c r="A21" i="2"/>
  <c r="C21" i="2" s="1"/>
  <c r="E19" i="16"/>
  <c r="E20" i="16" s="1"/>
  <c r="G18" i="16"/>
  <c r="A19" i="16"/>
  <c r="A20" i="16" s="1"/>
  <c r="C20" i="16" s="1"/>
  <c r="C18" i="16"/>
  <c r="E21" i="2"/>
  <c r="G20" i="2"/>
  <c r="B54" i="13"/>
  <c r="B12" i="2"/>
  <c r="Q18" i="2" s="1"/>
  <c r="Q19" i="2" s="1"/>
  <c r="Q20" i="2" s="1"/>
  <c r="B12" i="15"/>
  <c r="Q18" i="15" s="1"/>
  <c r="Q19" i="15" s="1"/>
  <c r="Q20" i="15" s="1"/>
  <c r="Q21" i="15" s="1"/>
  <c r="C54" i="13"/>
  <c r="B13" i="15"/>
  <c r="C55" i="13"/>
  <c r="B13" i="16"/>
  <c r="D55" i="13"/>
  <c r="D54" i="13"/>
  <c r="B12" i="16"/>
  <c r="Q18" i="16" s="1"/>
  <c r="Q19" i="16" s="1"/>
  <c r="Q20" i="16" s="1"/>
  <c r="Q21" i="16" s="1"/>
  <c r="Q22" i="16" s="1"/>
  <c r="B55" i="13"/>
  <c r="B13" i="2"/>
  <c r="I21" i="16"/>
  <c r="N21" i="16"/>
  <c r="K24" i="16"/>
  <c r="N23" i="15"/>
  <c r="K23" i="15"/>
  <c r="I23" i="15"/>
  <c r="K22" i="2"/>
  <c r="K23" i="2" s="1"/>
  <c r="N23" i="2"/>
  <c r="G20" i="15" l="1"/>
  <c r="E21" i="15"/>
  <c r="C20" i="15"/>
  <c r="A21" i="15"/>
  <c r="G19" i="16"/>
  <c r="A22" i="2"/>
  <c r="C22" i="2" s="1"/>
  <c r="C19" i="16"/>
  <c r="G20" i="16"/>
  <c r="E21" i="16"/>
  <c r="G21" i="16" s="1"/>
  <c r="A21" i="16"/>
  <c r="C21" i="16" s="1"/>
  <c r="F18" i="16"/>
  <c r="H18" i="16" s="1"/>
  <c r="B18" i="16"/>
  <c r="D18" i="16" s="1"/>
  <c r="F18" i="15"/>
  <c r="H18" i="15" s="1"/>
  <c r="B18" i="15"/>
  <c r="D18" i="15" s="1"/>
  <c r="E22" i="2"/>
  <c r="G21" i="2"/>
  <c r="B18" i="2"/>
  <c r="F18" i="2"/>
  <c r="H18" i="2" s="1"/>
  <c r="L18" i="2"/>
  <c r="L19" i="2" s="1"/>
  <c r="L20" i="2" s="1"/>
  <c r="L21" i="2" s="1"/>
  <c r="L22" i="2" s="1"/>
  <c r="O18" i="2"/>
  <c r="O19" i="2" s="1"/>
  <c r="O20" i="2" s="1"/>
  <c r="O21" i="2" s="1"/>
  <c r="O22" i="2" s="1"/>
  <c r="J18" i="2"/>
  <c r="J18" i="16"/>
  <c r="L18" i="16"/>
  <c r="O18" i="16"/>
  <c r="O19" i="16" s="1"/>
  <c r="O20" i="16" s="1"/>
  <c r="L18" i="15"/>
  <c r="O18" i="15"/>
  <c r="O19" i="15" s="1"/>
  <c r="O20" i="15" s="1"/>
  <c r="O21" i="15" s="1"/>
  <c r="O22" i="15" s="1"/>
  <c r="J18" i="15"/>
  <c r="Q23" i="16"/>
  <c r="I22" i="16"/>
  <c r="N22" i="16"/>
  <c r="K25" i="16"/>
  <c r="Q22" i="15"/>
  <c r="K24" i="15"/>
  <c r="N24" i="15"/>
  <c r="I24" i="15"/>
  <c r="Q21" i="2"/>
  <c r="Q22" i="2" s="1"/>
  <c r="N24" i="2"/>
  <c r="K24" i="2"/>
  <c r="P18" i="15" l="1"/>
  <c r="R18" i="15" s="1"/>
  <c r="F19" i="16"/>
  <c r="F20" i="16" s="1"/>
  <c r="H20" i="16" s="1"/>
  <c r="P18" i="16"/>
  <c r="R18" i="16" s="1"/>
  <c r="A23" i="2"/>
  <c r="A24" i="2" s="1"/>
  <c r="L23" i="2"/>
  <c r="E22" i="16"/>
  <c r="G22" i="16" s="1"/>
  <c r="G21" i="15"/>
  <c r="E22" i="15"/>
  <c r="D18" i="2"/>
  <c r="P18" i="2" s="1"/>
  <c r="R18" i="2" s="1"/>
  <c r="B19" i="2"/>
  <c r="B20" i="2" s="1"/>
  <c r="B21" i="2" s="1"/>
  <c r="A22" i="16"/>
  <c r="A23" i="16" s="1"/>
  <c r="C21" i="15"/>
  <c r="A22" i="15"/>
  <c r="B19" i="16"/>
  <c r="D19" i="16" s="1"/>
  <c r="F19" i="15"/>
  <c r="B19" i="15"/>
  <c r="D19" i="15" s="1"/>
  <c r="E23" i="2"/>
  <c r="G22" i="2"/>
  <c r="J19" i="16"/>
  <c r="J19" i="15"/>
  <c r="P19" i="15" s="1"/>
  <c r="F19" i="2"/>
  <c r="H19" i="2" s="1"/>
  <c r="L19" i="15"/>
  <c r="M18" i="15"/>
  <c r="J19" i="2"/>
  <c r="M18" i="16"/>
  <c r="L19" i="16"/>
  <c r="M18" i="2"/>
  <c r="N23" i="16"/>
  <c r="O21" i="16"/>
  <c r="Q23" i="15"/>
  <c r="I23" i="16"/>
  <c r="K26" i="16"/>
  <c r="Q24" i="16"/>
  <c r="O23" i="15"/>
  <c r="N25" i="15"/>
  <c r="I25" i="15"/>
  <c r="K25" i="15"/>
  <c r="Q23" i="2"/>
  <c r="O23" i="2"/>
  <c r="N25" i="2"/>
  <c r="K25" i="2"/>
  <c r="H19" i="16" l="1"/>
  <c r="E23" i="16"/>
  <c r="G23" i="16" s="1"/>
  <c r="C23" i="2"/>
  <c r="B22" i="2"/>
  <c r="B23" i="2" s="1"/>
  <c r="D19" i="2"/>
  <c r="P19" i="2" s="1"/>
  <c r="R19" i="2" s="1"/>
  <c r="P19" i="16"/>
  <c r="R19" i="16" s="1"/>
  <c r="L24" i="2"/>
  <c r="F21" i="16"/>
  <c r="H21" i="16" s="1"/>
  <c r="C22" i="16"/>
  <c r="G22" i="15"/>
  <c r="E23" i="15"/>
  <c r="A23" i="15"/>
  <c r="C22" i="15"/>
  <c r="F20" i="15"/>
  <c r="H19" i="15"/>
  <c r="A24" i="16"/>
  <c r="C23" i="16"/>
  <c r="B20" i="16"/>
  <c r="D20" i="16" s="1"/>
  <c r="B20" i="15"/>
  <c r="D20" i="15" s="1"/>
  <c r="A25" i="2"/>
  <c r="C24" i="2"/>
  <c r="E24" i="2"/>
  <c r="G23" i="2"/>
  <c r="D20" i="2"/>
  <c r="R19" i="15"/>
  <c r="J20" i="15"/>
  <c r="J20" i="16"/>
  <c r="F20" i="2"/>
  <c r="H20" i="2" s="1"/>
  <c r="M19" i="16"/>
  <c r="L20" i="16"/>
  <c r="M19" i="2"/>
  <c r="J20" i="2"/>
  <c r="M19" i="15"/>
  <c r="L20" i="15"/>
  <c r="I24" i="16"/>
  <c r="O22" i="16"/>
  <c r="N24" i="16"/>
  <c r="Q25" i="16"/>
  <c r="K27" i="16"/>
  <c r="K26" i="15"/>
  <c r="I26" i="15"/>
  <c r="Q24" i="15"/>
  <c r="O24" i="15"/>
  <c r="N26" i="15"/>
  <c r="K26" i="2"/>
  <c r="Q24" i="2"/>
  <c r="O24" i="2"/>
  <c r="N26" i="2"/>
  <c r="L25" i="2" l="1"/>
  <c r="E24" i="16"/>
  <c r="E25" i="16" s="1"/>
  <c r="F22" i="16"/>
  <c r="H22" i="16" s="1"/>
  <c r="P20" i="16"/>
  <c r="R20" i="16" s="1"/>
  <c r="B24" i="2"/>
  <c r="E24" i="15"/>
  <c r="G23" i="15"/>
  <c r="A24" i="15"/>
  <c r="C23" i="15"/>
  <c r="P20" i="15"/>
  <c r="R20" i="15" s="1"/>
  <c r="F21" i="15"/>
  <c r="H20" i="15"/>
  <c r="A25" i="16"/>
  <c r="C24" i="16"/>
  <c r="B21" i="16"/>
  <c r="D21" i="16" s="1"/>
  <c r="B21" i="15"/>
  <c r="D21" i="15" s="1"/>
  <c r="A26" i="2"/>
  <c r="C25" i="2"/>
  <c r="E25" i="2"/>
  <c r="G24" i="2"/>
  <c r="D21" i="2"/>
  <c r="P20" i="2"/>
  <c r="R20" i="2" s="1"/>
  <c r="J21" i="16"/>
  <c r="P21" i="16" s="1"/>
  <c r="J21" i="15"/>
  <c r="F21" i="2"/>
  <c r="H21" i="2" s="1"/>
  <c r="M20" i="15"/>
  <c r="L21" i="15"/>
  <c r="J21" i="2"/>
  <c r="L21" i="16"/>
  <c r="M20" i="16"/>
  <c r="M20" i="2"/>
  <c r="O23" i="16"/>
  <c r="N25" i="16"/>
  <c r="I25" i="16"/>
  <c r="K28" i="16"/>
  <c r="Q26" i="16"/>
  <c r="I27" i="15"/>
  <c r="K27" i="15"/>
  <c r="O25" i="15"/>
  <c r="N27" i="15"/>
  <c r="Q25" i="15"/>
  <c r="Q25" i="2"/>
  <c r="O25" i="2"/>
  <c r="N27" i="2"/>
  <c r="K27" i="2"/>
  <c r="B25" i="2" l="1"/>
  <c r="L26" i="2"/>
  <c r="F23" i="16"/>
  <c r="F24" i="16" s="1"/>
  <c r="G24" i="16"/>
  <c r="G24" i="15"/>
  <c r="E25" i="15"/>
  <c r="A25" i="15"/>
  <c r="C24" i="15"/>
  <c r="P21" i="15"/>
  <c r="R21" i="15" s="1"/>
  <c r="E26" i="16"/>
  <c r="G25" i="16"/>
  <c r="F22" i="15"/>
  <c r="H21" i="15"/>
  <c r="A26" i="16"/>
  <c r="C25" i="16"/>
  <c r="B22" i="16"/>
  <c r="D22" i="16" s="1"/>
  <c r="B22" i="15"/>
  <c r="D22" i="15" s="1"/>
  <c r="A27" i="2"/>
  <c r="C26" i="2"/>
  <c r="E26" i="2"/>
  <c r="G25" i="2"/>
  <c r="P21" i="2"/>
  <c r="R21" i="2" s="1"/>
  <c r="D22" i="2"/>
  <c r="J22" i="15"/>
  <c r="J22" i="16"/>
  <c r="P22" i="16" s="1"/>
  <c r="F22" i="2"/>
  <c r="H22" i="2" s="1"/>
  <c r="J22" i="2"/>
  <c r="R21" i="16"/>
  <c r="L22" i="16"/>
  <c r="M21" i="16"/>
  <c r="M21" i="15"/>
  <c r="L22" i="15"/>
  <c r="M21" i="2"/>
  <c r="N26" i="16"/>
  <c r="O24" i="16"/>
  <c r="I26" i="16"/>
  <c r="Q26" i="15"/>
  <c r="K29" i="16"/>
  <c r="Q27" i="16"/>
  <c r="O26" i="15"/>
  <c r="N28" i="15"/>
  <c r="K28" i="15"/>
  <c r="I28" i="15"/>
  <c r="K28" i="2"/>
  <c r="O26" i="2"/>
  <c r="N28" i="2"/>
  <c r="Q26" i="2"/>
  <c r="B26" i="2" l="1"/>
  <c r="H23" i="16"/>
  <c r="L27" i="2"/>
  <c r="G25" i="15"/>
  <c r="E26" i="15"/>
  <c r="A26" i="15"/>
  <c r="C25" i="15"/>
  <c r="P22" i="15"/>
  <c r="R22" i="15" s="1"/>
  <c r="E27" i="16"/>
  <c r="G26" i="16"/>
  <c r="F25" i="16"/>
  <c r="H24" i="16"/>
  <c r="F23" i="15"/>
  <c r="H22" i="15"/>
  <c r="A27" i="16"/>
  <c r="C26" i="16"/>
  <c r="B23" i="16"/>
  <c r="D23" i="16" s="1"/>
  <c r="B23" i="15"/>
  <c r="D23" i="15" s="1"/>
  <c r="A28" i="2"/>
  <c r="C27" i="2"/>
  <c r="E27" i="2"/>
  <c r="G26" i="2"/>
  <c r="D23" i="2"/>
  <c r="P22" i="2"/>
  <c r="R22" i="2" s="1"/>
  <c r="F23" i="2"/>
  <c r="H23" i="2" s="1"/>
  <c r="J23" i="16"/>
  <c r="P23" i="16" s="1"/>
  <c r="J23" i="15"/>
  <c r="M22" i="15"/>
  <c r="L23" i="15"/>
  <c r="R22" i="16"/>
  <c r="L23" i="16"/>
  <c r="M22" i="16"/>
  <c r="M22" i="2"/>
  <c r="J23" i="2"/>
  <c r="Q27" i="15"/>
  <c r="I27" i="16"/>
  <c r="N27" i="16"/>
  <c r="O25" i="16"/>
  <c r="Q28" i="16"/>
  <c r="K30" i="16"/>
  <c r="K29" i="15"/>
  <c r="I29" i="15"/>
  <c r="O27" i="15"/>
  <c r="N29" i="15"/>
  <c r="Q27" i="2"/>
  <c r="O27" i="2"/>
  <c r="N29" i="2"/>
  <c r="K29" i="2"/>
  <c r="B27" i="2" l="1"/>
  <c r="L28" i="2"/>
  <c r="F26" i="16"/>
  <c r="H26" i="16" s="1"/>
  <c r="E27" i="15"/>
  <c r="G26" i="15"/>
  <c r="A27" i="15"/>
  <c r="C26" i="15"/>
  <c r="B25" i="15"/>
  <c r="D25" i="15" s="1"/>
  <c r="H25" i="16"/>
  <c r="P23" i="15"/>
  <c r="R23" i="15" s="1"/>
  <c r="E28" i="16"/>
  <c r="G27" i="16"/>
  <c r="F24" i="15"/>
  <c r="H23" i="15"/>
  <c r="C27" i="16"/>
  <c r="A28" i="16"/>
  <c r="B24" i="16"/>
  <c r="D24" i="16" s="1"/>
  <c r="B24" i="15"/>
  <c r="D24" i="15" s="1"/>
  <c r="A29" i="2"/>
  <c r="B28" i="2" s="1"/>
  <c r="C28" i="2"/>
  <c r="E28" i="2"/>
  <c r="G27" i="2"/>
  <c r="D24" i="2"/>
  <c r="P23" i="2"/>
  <c r="R23" i="2" s="1"/>
  <c r="F24" i="2"/>
  <c r="H24" i="2" s="1"/>
  <c r="J24" i="15"/>
  <c r="J24" i="16"/>
  <c r="P24" i="16" s="1"/>
  <c r="M23" i="2"/>
  <c r="J24" i="2"/>
  <c r="L24" i="15"/>
  <c r="M23" i="15"/>
  <c r="R23" i="16"/>
  <c r="M23" i="16"/>
  <c r="L24" i="16"/>
  <c r="Q28" i="15"/>
  <c r="O26" i="16"/>
  <c r="N28" i="16"/>
  <c r="I28" i="16"/>
  <c r="K31" i="16"/>
  <c r="Q29" i="16"/>
  <c r="I30" i="15"/>
  <c r="O28" i="15"/>
  <c r="N30" i="15"/>
  <c r="K30" i="15"/>
  <c r="O28" i="2"/>
  <c r="N30" i="2"/>
  <c r="K30" i="2"/>
  <c r="Q28" i="2"/>
  <c r="L29" i="2" l="1"/>
  <c r="E28" i="15"/>
  <c r="G27" i="15"/>
  <c r="B26" i="15"/>
  <c r="D26" i="15" s="1"/>
  <c r="C27" i="15"/>
  <c r="A28" i="15"/>
  <c r="P24" i="15"/>
  <c r="R24" i="15" s="1"/>
  <c r="E29" i="16"/>
  <c r="G28" i="16"/>
  <c r="F27" i="16"/>
  <c r="F25" i="15"/>
  <c r="H24" i="15"/>
  <c r="C28" i="16"/>
  <c r="A29" i="16"/>
  <c r="B25" i="16"/>
  <c r="C29" i="2"/>
  <c r="A30" i="2"/>
  <c r="B29" i="2" s="1"/>
  <c r="E29" i="2"/>
  <c r="G28" i="2"/>
  <c r="D25" i="2"/>
  <c r="P24" i="2"/>
  <c r="R24" i="2" s="1"/>
  <c r="R24" i="16"/>
  <c r="F25" i="2"/>
  <c r="H25" i="2" s="1"/>
  <c r="J25" i="16"/>
  <c r="J25" i="15"/>
  <c r="P25" i="15" s="1"/>
  <c r="Q29" i="15"/>
  <c r="M24" i="16"/>
  <c r="L25" i="16"/>
  <c r="J25" i="2"/>
  <c r="M24" i="15"/>
  <c r="L25" i="15"/>
  <c r="M24" i="2"/>
  <c r="Q30" i="16"/>
  <c r="I29" i="16"/>
  <c r="N29" i="16"/>
  <c r="O27" i="16"/>
  <c r="K32" i="16"/>
  <c r="I31" i="15"/>
  <c r="O29" i="15"/>
  <c r="N31" i="15"/>
  <c r="K31" i="15"/>
  <c r="Q29" i="2"/>
  <c r="K31" i="2"/>
  <c r="O29" i="2"/>
  <c r="N31" i="2"/>
  <c r="L30" i="2" l="1"/>
  <c r="D25" i="16"/>
  <c r="B26" i="16"/>
  <c r="P25" i="16"/>
  <c r="R25" i="16" s="1"/>
  <c r="E29" i="15"/>
  <c r="G28" i="15"/>
  <c r="F28" i="16"/>
  <c r="H28" i="16" s="1"/>
  <c r="A29" i="15"/>
  <c r="B27" i="15"/>
  <c r="D27" i="15" s="1"/>
  <c r="C28" i="15"/>
  <c r="E30" i="16"/>
  <c r="G29" i="16"/>
  <c r="H27" i="16"/>
  <c r="F26" i="15"/>
  <c r="H25" i="15"/>
  <c r="C29" i="16"/>
  <c r="A30" i="16"/>
  <c r="D28" i="2"/>
  <c r="C30" i="2"/>
  <c r="A31" i="2"/>
  <c r="B30" i="2" s="1"/>
  <c r="E30" i="2"/>
  <c r="G29" i="2"/>
  <c r="D26" i="2"/>
  <c r="P25" i="2"/>
  <c r="R25" i="2" s="1"/>
  <c r="R25" i="15"/>
  <c r="F26" i="2"/>
  <c r="H26" i="2" s="1"/>
  <c r="J26" i="15"/>
  <c r="P26" i="15" s="1"/>
  <c r="J26" i="16"/>
  <c r="P26" i="16" s="1"/>
  <c r="Q30" i="15"/>
  <c r="L26" i="15"/>
  <c r="M25" i="15"/>
  <c r="M25" i="16"/>
  <c r="L26" i="16"/>
  <c r="M25" i="2"/>
  <c r="J26" i="2"/>
  <c r="N30" i="16"/>
  <c r="O28" i="16"/>
  <c r="I30" i="16"/>
  <c r="K33" i="16"/>
  <c r="Q31" i="16"/>
  <c r="O30" i="15"/>
  <c r="N32" i="15"/>
  <c r="K32" i="15"/>
  <c r="I32" i="15"/>
  <c r="K32" i="2"/>
  <c r="Q30" i="2"/>
  <c r="O30" i="2"/>
  <c r="N32" i="2"/>
  <c r="D26" i="16" l="1"/>
  <c r="B27" i="16"/>
  <c r="L31" i="2"/>
  <c r="G29" i="15"/>
  <c r="E30" i="15"/>
  <c r="C29" i="15"/>
  <c r="B28" i="15"/>
  <c r="D28" i="15" s="1"/>
  <c r="A30" i="15"/>
  <c r="G30" i="16"/>
  <c r="E31" i="16"/>
  <c r="F29" i="16"/>
  <c r="H29" i="16" s="1"/>
  <c r="F27" i="15"/>
  <c r="H27" i="15" s="1"/>
  <c r="H26" i="15"/>
  <c r="C30" i="16"/>
  <c r="A31" i="16"/>
  <c r="C31" i="2"/>
  <c r="A32" i="2"/>
  <c r="B31" i="2" s="1"/>
  <c r="D29" i="2"/>
  <c r="E31" i="2"/>
  <c r="G30" i="2"/>
  <c r="P26" i="2"/>
  <c r="R26" i="2" s="1"/>
  <c r="R26" i="15"/>
  <c r="F27" i="2"/>
  <c r="H27" i="2" s="1"/>
  <c r="J27" i="16"/>
  <c r="P27" i="16" s="1"/>
  <c r="J27" i="15"/>
  <c r="P27" i="15" s="1"/>
  <c r="Q31" i="15"/>
  <c r="M26" i="2"/>
  <c r="J27" i="2"/>
  <c r="R26" i="16"/>
  <c r="M26" i="16"/>
  <c r="L27" i="16"/>
  <c r="L27" i="15"/>
  <c r="M26" i="15"/>
  <c r="I31" i="16"/>
  <c r="O29" i="16"/>
  <c r="N31" i="16"/>
  <c r="Q32" i="16"/>
  <c r="K34" i="16"/>
  <c r="I33" i="15"/>
  <c r="O31" i="15"/>
  <c r="N33" i="15"/>
  <c r="K33" i="15"/>
  <c r="Q31" i="2"/>
  <c r="O31" i="2"/>
  <c r="N33" i="2"/>
  <c r="K33" i="2"/>
  <c r="D27" i="16" l="1"/>
  <c r="B28" i="16"/>
  <c r="F28" i="15"/>
  <c r="H28" i="15" s="1"/>
  <c r="L32" i="2"/>
  <c r="F28" i="2"/>
  <c r="H28" i="2" s="1"/>
  <c r="G30" i="15"/>
  <c r="E31" i="15"/>
  <c r="A31" i="15"/>
  <c r="B29" i="15"/>
  <c r="D29" i="15" s="1"/>
  <c r="C30" i="15"/>
  <c r="G31" i="16"/>
  <c r="E32" i="16"/>
  <c r="F30" i="16"/>
  <c r="H30" i="16" s="1"/>
  <c r="C31" i="16"/>
  <c r="A32" i="16"/>
  <c r="D27" i="2"/>
  <c r="P27" i="2" s="1"/>
  <c r="R27" i="2" s="1"/>
  <c r="D30" i="2"/>
  <c r="C32" i="2"/>
  <c r="A33" i="2"/>
  <c r="B32" i="2" s="1"/>
  <c r="E32" i="2"/>
  <c r="G31" i="2"/>
  <c r="R27" i="16"/>
  <c r="Q32" i="15"/>
  <c r="J28" i="15"/>
  <c r="J28" i="16"/>
  <c r="P28" i="16" s="1"/>
  <c r="M27" i="2"/>
  <c r="L28" i="15"/>
  <c r="R27" i="15"/>
  <c r="M27" i="15"/>
  <c r="J28" i="2"/>
  <c r="P28" i="2" s="1"/>
  <c r="L28" i="16"/>
  <c r="M27" i="16"/>
  <c r="O30" i="16"/>
  <c r="N32" i="16"/>
  <c r="I32" i="16"/>
  <c r="K35" i="16"/>
  <c r="Q33" i="16"/>
  <c r="O32" i="15"/>
  <c r="N34" i="15"/>
  <c r="K34" i="15"/>
  <c r="I34" i="15"/>
  <c r="Q32" i="2"/>
  <c r="O32" i="2"/>
  <c r="N34" i="2"/>
  <c r="K34" i="2"/>
  <c r="P28" i="15" l="1"/>
  <c r="J29" i="15"/>
  <c r="J30" i="15" s="1"/>
  <c r="J31" i="15" s="1"/>
  <c r="J32" i="15" s="1"/>
  <c r="D28" i="16"/>
  <c r="B29" i="16"/>
  <c r="F29" i="15"/>
  <c r="H29" i="15" s="1"/>
  <c r="L33" i="2"/>
  <c r="F29" i="2"/>
  <c r="H29" i="2" s="1"/>
  <c r="G31" i="15"/>
  <c r="E32" i="15"/>
  <c r="F30" i="15"/>
  <c r="H30" i="15" s="1"/>
  <c r="B30" i="15"/>
  <c r="D30" i="15" s="1"/>
  <c r="P30" i="15" s="1"/>
  <c r="A32" i="15"/>
  <c r="C31" i="15"/>
  <c r="G32" i="16"/>
  <c r="F31" i="16"/>
  <c r="H31" i="16" s="1"/>
  <c r="E33" i="16"/>
  <c r="C32" i="16"/>
  <c r="A33" i="16"/>
  <c r="C33" i="2"/>
  <c r="A34" i="2"/>
  <c r="B33" i="2" s="1"/>
  <c r="D31" i="2"/>
  <c r="E33" i="2"/>
  <c r="G32" i="2"/>
  <c r="R28" i="15"/>
  <c r="R28" i="16"/>
  <c r="Q33" i="15"/>
  <c r="J29" i="16"/>
  <c r="R28" i="2"/>
  <c r="J29" i="2"/>
  <c r="P29" i="2" s="1"/>
  <c r="M28" i="2"/>
  <c r="M28" i="15"/>
  <c r="L29" i="15"/>
  <c r="M28" i="16"/>
  <c r="L29" i="16"/>
  <c r="N33" i="16"/>
  <c r="O31" i="16"/>
  <c r="I33" i="16"/>
  <c r="Q34" i="16"/>
  <c r="K36" i="16"/>
  <c r="O33" i="15"/>
  <c r="N35" i="15"/>
  <c r="Q33" i="2"/>
  <c r="I35" i="15"/>
  <c r="J33" i="15"/>
  <c r="K35" i="15"/>
  <c r="K35" i="2"/>
  <c r="L34" i="2" s="1"/>
  <c r="O33" i="2"/>
  <c r="N35" i="2"/>
  <c r="P29" i="15" l="1"/>
  <c r="D29" i="16"/>
  <c r="B30" i="16"/>
  <c r="P29" i="16"/>
  <c r="R29" i="16" s="1"/>
  <c r="J30" i="16"/>
  <c r="J31" i="16" s="1"/>
  <c r="J32" i="16" s="1"/>
  <c r="F30" i="2"/>
  <c r="H30" i="2" s="1"/>
  <c r="F31" i="15"/>
  <c r="H31" i="15" s="1"/>
  <c r="G32" i="15"/>
  <c r="E33" i="15"/>
  <c r="B31" i="15"/>
  <c r="D31" i="15" s="1"/>
  <c r="P31" i="15" s="1"/>
  <c r="C32" i="15"/>
  <c r="A33" i="15"/>
  <c r="G33" i="16"/>
  <c r="E34" i="16"/>
  <c r="F32" i="16"/>
  <c r="H32" i="16" s="1"/>
  <c r="C33" i="16"/>
  <c r="A34" i="16"/>
  <c r="D32" i="2"/>
  <c r="C34" i="2"/>
  <c r="A35" i="2"/>
  <c r="B34" i="2" s="1"/>
  <c r="E34" i="2"/>
  <c r="G33" i="2"/>
  <c r="R29" i="2"/>
  <c r="J30" i="2"/>
  <c r="P30" i="2" s="1"/>
  <c r="M29" i="16"/>
  <c r="L30" i="16"/>
  <c r="M29" i="2"/>
  <c r="M29" i="15"/>
  <c r="R29" i="15"/>
  <c r="L30" i="15"/>
  <c r="I34" i="16"/>
  <c r="N34" i="16"/>
  <c r="O32" i="16"/>
  <c r="K37" i="16"/>
  <c r="Q35" i="16"/>
  <c r="K36" i="15"/>
  <c r="O34" i="15"/>
  <c r="N36" i="15"/>
  <c r="I36" i="15"/>
  <c r="J34" i="15"/>
  <c r="Q34" i="15"/>
  <c r="K36" i="2"/>
  <c r="O34" i="2"/>
  <c r="N36" i="2"/>
  <c r="Q34" i="2"/>
  <c r="P30" i="16" l="1"/>
  <c r="R30" i="16" s="1"/>
  <c r="D30" i="16"/>
  <c r="B31" i="16"/>
  <c r="F31" i="2"/>
  <c r="H31" i="2" s="1"/>
  <c r="E34" i="15"/>
  <c r="F32" i="15"/>
  <c r="H32" i="15" s="1"/>
  <c r="G33" i="15"/>
  <c r="C33" i="15"/>
  <c r="B32" i="15"/>
  <c r="D32" i="15" s="1"/>
  <c r="P32" i="15" s="1"/>
  <c r="A34" i="15"/>
  <c r="G34" i="16"/>
  <c r="E35" i="16"/>
  <c r="F33" i="16"/>
  <c r="H33" i="16" s="1"/>
  <c r="C34" i="16"/>
  <c r="A35" i="16"/>
  <c r="C35" i="2"/>
  <c r="A36" i="2"/>
  <c r="B35" i="2" s="1"/>
  <c r="D33" i="2"/>
  <c r="E35" i="2"/>
  <c r="G34" i="2"/>
  <c r="R30" i="2"/>
  <c r="J31" i="2"/>
  <c r="R30" i="15"/>
  <c r="M30" i="15"/>
  <c r="L31" i="15"/>
  <c r="M30" i="2"/>
  <c r="L31" i="16"/>
  <c r="P31" i="16" s="1"/>
  <c r="M30" i="16"/>
  <c r="N35" i="16"/>
  <c r="O33" i="16"/>
  <c r="Q35" i="15"/>
  <c r="J33" i="16"/>
  <c r="I35" i="16"/>
  <c r="K38" i="16"/>
  <c r="Q36" i="16"/>
  <c r="K37" i="15"/>
  <c r="J35" i="15"/>
  <c r="I37" i="15"/>
  <c r="O35" i="15"/>
  <c r="N37" i="15"/>
  <c r="Q35" i="2"/>
  <c r="O35" i="2"/>
  <c r="N37" i="2"/>
  <c r="K37" i="2"/>
  <c r="P31" i="2" l="1"/>
  <c r="F32" i="2"/>
  <c r="H32" i="2" s="1"/>
  <c r="D31" i="16"/>
  <c r="B32" i="16"/>
  <c r="G34" i="15"/>
  <c r="E35" i="15"/>
  <c r="F33" i="15"/>
  <c r="H33" i="15" s="1"/>
  <c r="C34" i="15"/>
  <c r="A35" i="15"/>
  <c r="B33" i="15"/>
  <c r="D33" i="15" s="1"/>
  <c r="P33" i="15" s="1"/>
  <c r="G35" i="16"/>
  <c r="E36" i="16"/>
  <c r="F34" i="16"/>
  <c r="H34" i="16" s="1"/>
  <c r="C35" i="16"/>
  <c r="A36" i="16"/>
  <c r="D34" i="2"/>
  <c r="C36" i="2"/>
  <c r="A37" i="2"/>
  <c r="B36" i="2" s="1"/>
  <c r="E36" i="2"/>
  <c r="G35" i="2"/>
  <c r="F33" i="2"/>
  <c r="H33" i="2" s="1"/>
  <c r="R31" i="2"/>
  <c r="J32" i="2"/>
  <c r="P32" i="2" s="1"/>
  <c r="M31" i="2"/>
  <c r="R31" i="16"/>
  <c r="M31" i="16"/>
  <c r="L32" i="16"/>
  <c r="P32" i="16" s="1"/>
  <c r="R31" i="15"/>
  <c r="L32" i="15"/>
  <c r="M31" i="15"/>
  <c r="Q36" i="15"/>
  <c r="J34" i="16"/>
  <c r="I36" i="16"/>
  <c r="O34" i="16"/>
  <c r="N36" i="16"/>
  <c r="K39" i="16"/>
  <c r="Q37" i="16"/>
  <c r="K38" i="15"/>
  <c r="O36" i="15"/>
  <c r="N38" i="15"/>
  <c r="I38" i="15"/>
  <c r="J36" i="15"/>
  <c r="K38" i="2"/>
  <c r="Q36" i="2"/>
  <c r="O36" i="2"/>
  <c r="N38" i="2"/>
  <c r="D32" i="16" l="1"/>
  <c r="B33" i="16"/>
  <c r="G35" i="15"/>
  <c r="F34" i="15"/>
  <c r="H34" i="15" s="1"/>
  <c r="E36" i="15"/>
  <c r="C35" i="15"/>
  <c r="A36" i="15"/>
  <c r="B34" i="15"/>
  <c r="D34" i="15" s="1"/>
  <c r="P34" i="15" s="1"/>
  <c r="G36" i="16"/>
  <c r="E37" i="16"/>
  <c r="F35" i="16"/>
  <c r="H35" i="16" s="1"/>
  <c r="C36" i="16"/>
  <c r="A37" i="16"/>
  <c r="C37" i="2"/>
  <c r="A38" i="2"/>
  <c r="B37" i="2" s="1"/>
  <c r="D35" i="2"/>
  <c r="E37" i="2"/>
  <c r="G36" i="2"/>
  <c r="F34" i="2"/>
  <c r="H34" i="2" s="1"/>
  <c r="Q37" i="15"/>
  <c r="R32" i="2"/>
  <c r="J33" i="2"/>
  <c r="P33" i="2" s="1"/>
  <c r="M32" i="2"/>
  <c r="R32" i="15"/>
  <c r="M32" i="15"/>
  <c r="L33" i="15"/>
  <c r="R32" i="16"/>
  <c r="M32" i="16"/>
  <c r="L33" i="16"/>
  <c r="P33" i="16" s="1"/>
  <c r="Q38" i="16"/>
  <c r="O35" i="16"/>
  <c r="N37" i="16"/>
  <c r="I37" i="16"/>
  <c r="J35" i="16"/>
  <c r="K40" i="16"/>
  <c r="O37" i="15"/>
  <c r="N39" i="15"/>
  <c r="K39" i="15"/>
  <c r="J37" i="15"/>
  <c r="I39" i="15"/>
  <c r="Q37" i="2"/>
  <c r="K39" i="2"/>
  <c r="N39" i="2"/>
  <c r="O37" i="2"/>
  <c r="D33" i="16" l="1"/>
  <c r="B34" i="16"/>
  <c r="E37" i="15"/>
  <c r="F35" i="15"/>
  <c r="H35" i="15" s="1"/>
  <c r="G36" i="15"/>
  <c r="C36" i="15"/>
  <c r="A37" i="15"/>
  <c r="B35" i="15"/>
  <c r="D35" i="15" s="1"/>
  <c r="P35" i="15" s="1"/>
  <c r="G37" i="16"/>
  <c r="F36" i="16"/>
  <c r="H36" i="16" s="1"/>
  <c r="E38" i="16"/>
  <c r="C37" i="16"/>
  <c r="A38" i="16"/>
  <c r="C38" i="2"/>
  <c r="A39" i="2"/>
  <c r="B38" i="2" s="1"/>
  <c r="D36" i="2"/>
  <c r="E38" i="2"/>
  <c r="G37" i="2"/>
  <c r="F35" i="2"/>
  <c r="H35" i="2" s="1"/>
  <c r="Q38" i="15"/>
  <c r="R33" i="2"/>
  <c r="J34" i="2"/>
  <c r="P34" i="2" s="1"/>
  <c r="R33" i="16"/>
  <c r="M33" i="16"/>
  <c r="L34" i="16"/>
  <c r="P34" i="16" s="1"/>
  <c r="M33" i="2"/>
  <c r="Q39" i="16"/>
  <c r="R33" i="15"/>
  <c r="M33" i="15"/>
  <c r="L34" i="15"/>
  <c r="I38" i="16"/>
  <c r="J36" i="16"/>
  <c r="N38" i="16"/>
  <c r="O36" i="16"/>
  <c r="K41" i="16"/>
  <c r="K40" i="15"/>
  <c r="I40" i="15"/>
  <c r="J38" i="15"/>
  <c r="O38" i="15"/>
  <c r="N40" i="15"/>
  <c r="Q38" i="2"/>
  <c r="O38" i="2"/>
  <c r="N40" i="2"/>
  <c r="K40" i="2"/>
  <c r="D34" i="16" l="1"/>
  <c r="B35" i="16"/>
  <c r="G37" i="15"/>
  <c r="F36" i="15"/>
  <c r="H36" i="15" s="1"/>
  <c r="E38" i="15"/>
  <c r="C37" i="15"/>
  <c r="B36" i="15"/>
  <c r="D36" i="15" s="1"/>
  <c r="P36" i="15" s="1"/>
  <c r="A38" i="15"/>
  <c r="G38" i="16"/>
  <c r="E39" i="16"/>
  <c r="F37" i="16"/>
  <c r="H37" i="16" s="1"/>
  <c r="C38" i="16"/>
  <c r="A39" i="16"/>
  <c r="C39" i="2"/>
  <c r="A40" i="2"/>
  <c r="B39" i="2" s="1"/>
  <c r="D37" i="2"/>
  <c r="E39" i="2"/>
  <c r="G38" i="2"/>
  <c r="F36" i="2"/>
  <c r="H36" i="2" s="1"/>
  <c r="Q39" i="15"/>
  <c r="R34" i="2"/>
  <c r="J35" i="2"/>
  <c r="P35" i="2" s="1"/>
  <c r="Q40" i="16"/>
  <c r="L35" i="2"/>
  <c r="M34" i="2"/>
  <c r="R34" i="16"/>
  <c r="M34" i="16"/>
  <c r="L35" i="16"/>
  <c r="P35" i="16" s="1"/>
  <c r="R34" i="15"/>
  <c r="M34" i="15"/>
  <c r="L35" i="15"/>
  <c r="O37" i="16"/>
  <c r="N39" i="16"/>
  <c r="I39" i="16"/>
  <c r="J37" i="16"/>
  <c r="K42" i="16"/>
  <c r="J39" i="15"/>
  <c r="I41" i="15"/>
  <c r="O39" i="15"/>
  <c r="N41" i="15"/>
  <c r="K41" i="15"/>
  <c r="O39" i="2"/>
  <c r="N41" i="2"/>
  <c r="K41" i="2"/>
  <c r="Q39" i="2"/>
  <c r="D35" i="16" l="1"/>
  <c r="B36" i="16"/>
  <c r="G38" i="15"/>
  <c r="E39" i="15"/>
  <c r="F37" i="15"/>
  <c r="H37" i="15" s="1"/>
  <c r="C38" i="15"/>
  <c r="A39" i="15"/>
  <c r="B37" i="15"/>
  <c r="D37" i="15" s="1"/>
  <c r="P37" i="15" s="1"/>
  <c r="R37" i="15" s="1"/>
  <c r="G39" i="16"/>
  <c r="F38" i="16"/>
  <c r="H38" i="16" s="1"/>
  <c r="E40" i="16"/>
  <c r="C39" i="16"/>
  <c r="A40" i="16"/>
  <c r="C40" i="2"/>
  <c r="A41" i="2"/>
  <c r="B40" i="2" s="1"/>
  <c r="D38" i="2"/>
  <c r="E40" i="2"/>
  <c r="G39" i="2"/>
  <c r="Q40" i="15"/>
  <c r="F37" i="2"/>
  <c r="H37" i="2" s="1"/>
  <c r="M35" i="2"/>
  <c r="L36" i="2"/>
  <c r="Q41" i="16"/>
  <c r="R35" i="2"/>
  <c r="J36" i="2"/>
  <c r="P36" i="2" s="1"/>
  <c r="M35" i="15"/>
  <c r="R35" i="15"/>
  <c r="L36" i="15"/>
  <c r="L37" i="15" s="1"/>
  <c r="L36" i="16"/>
  <c r="P36" i="16" s="1"/>
  <c r="M35" i="16"/>
  <c r="R35" i="16"/>
  <c r="J38" i="16"/>
  <c r="P38" i="16" s="1"/>
  <c r="I40" i="16"/>
  <c r="O38" i="16"/>
  <c r="N40" i="16"/>
  <c r="I42" i="15"/>
  <c r="J40" i="15"/>
  <c r="O40" i="15"/>
  <c r="N42" i="15"/>
  <c r="K42" i="15"/>
  <c r="Q40" i="2"/>
  <c r="K42" i="2"/>
  <c r="N42" i="2"/>
  <c r="O40" i="2"/>
  <c r="M37" i="15" l="1"/>
  <c r="L38" i="15"/>
  <c r="D36" i="16"/>
  <c r="B37" i="16"/>
  <c r="G39" i="15"/>
  <c r="E40" i="15"/>
  <c r="F38" i="15"/>
  <c r="H38" i="15" s="1"/>
  <c r="C39" i="15"/>
  <c r="B38" i="15"/>
  <c r="D38" i="15" s="1"/>
  <c r="P38" i="15" s="1"/>
  <c r="R38" i="15" s="1"/>
  <c r="A40" i="15"/>
  <c r="G40" i="16"/>
  <c r="E41" i="16"/>
  <c r="F39" i="16"/>
  <c r="H39" i="16" s="1"/>
  <c r="C40" i="16"/>
  <c r="A41" i="16"/>
  <c r="D39" i="2"/>
  <c r="C41" i="2"/>
  <c r="A42" i="2"/>
  <c r="B41" i="2" s="1"/>
  <c r="B42" i="2" s="1"/>
  <c r="E41" i="2"/>
  <c r="G40" i="2"/>
  <c r="R38" i="16"/>
  <c r="Q41" i="15"/>
  <c r="F38" i="2"/>
  <c r="H38" i="2" s="1"/>
  <c r="M36" i="2"/>
  <c r="L37" i="2"/>
  <c r="R36" i="2"/>
  <c r="J37" i="2"/>
  <c r="P37" i="2" s="1"/>
  <c r="R36" i="16"/>
  <c r="M36" i="16"/>
  <c r="L37" i="16"/>
  <c r="M36" i="15"/>
  <c r="R36" i="15"/>
  <c r="J39" i="16"/>
  <c r="P39" i="16" s="1"/>
  <c r="I41" i="16"/>
  <c r="O39" i="16"/>
  <c r="N41" i="16"/>
  <c r="J41" i="15"/>
  <c r="O41" i="15"/>
  <c r="O42" i="15" s="1"/>
  <c r="Q41" i="2"/>
  <c r="O41" i="2"/>
  <c r="O42" i="2" s="1"/>
  <c r="D37" i="16" l="1"/>
  <c r="B38" i="16"/>
  <c r="M38" i="15"/>
  <c r="L39" i="15"/>
  <c r="P37" i="16"/>
  <c r="L38" i="16"/>
  <c r="G40" i="15"/>
  <c r="E41" i="15"/>
  <c r="F39" i="15"/>
  <c r="H39" i="15" s="1"/>
  <c r="A41" i="15"/>
  <c r="C40" i="15"/>
  <c r="B39" i="15"/>
  <c r="D39" i="15" s="1"/>
  <c r="P39" i="15" s="1"/>
  <c r="R39" i="15" s="1"/>
  <c r="G41" i="16"/>
  <c r="E42" i="16"/>
  <c r="F40" i="16"/>
  <c r="H40" i="16" s="1"/>
  <c r="C41" i="16"/>
  <c r="A42" i="16"/>
  <c r="D40" i="2"/>
  <c r="D41" i="2"/>
  <c r="C42" i="2"/>
  <c r="E42" i="2"/>
  <c r="G42" i="2" s="1"/>
  <c r="G41" i="2"/>
  <c r="R39" i="16"/>
  <c r="J42" i="15"/>
  <c r="F39" i="2"/>
  <c r="H39" i="2" s="1"/>
  <c r="M37" i="2"/>
  <c r="L38" i="2"/>
  <c r="R37" i="2"/>
  <c r="J38" i="2"/>
  <c r="P38" i="2" s="1"/>
  <c r="M37" i="16"/>
  <c r="R37" i="16"/>
  <c r="N42" i="16"/>
  <c r="O40" i="16"/>
  <c r="I42" i="16"/>
  <c r="J40" i="16"/>
  <c r="M39" i="15" l="1"/>
  <c r="L40" i="15"/>
  <c r="M38" i="16"/>
  <c r="L39" i="16"/>
  <c r="D38" i="16"/>
  <c r="B39" i="16"/>
  <c r="P40" i="16"/>
  <c r="R40" i="16" s="1"/>
  <c r="G41" i="15"/>
  <c r="F40" i="15"/>
  <c r="H40" i="15" s="1"/>
  <c r="E42" i="15"/>
  <c r="B40" i="15"/>
  <c r="D40" i="15" s="1"/>
  <c r="P40" i="15" s="1"/>
  <c r="R40" i="15" s="1"/>
  <c r="C41" i="15"/>
  <c r="A42" i="15"/>
  <c r="D42" i="2"/>
  <c r="G42" i="16"/>
  <c r="F41" i="16"/>
  <c r="F42" i="16" s="1"/>
  <c r="C42" i="16"/>
  <c r="J41" i="16"/>
  <c r="F40" i="2"/>
  <c r="H40" i="2" s="1"/>
  <c r="R38" i="2"/>
  <c r="J39" i="2"/>
  <c r="P39" i="2" s="1"/>
  <c r="L39" i="2"/>
  <c r="M38" i="2"/>
  <c r="O41" i="16"/>
  <c r="O42" i="16" s="1"/>
  <c r="D39" i="16" l="1"/>
  <c r="B40" i="16"/>
  <c r="L41" i="15"/>
  <c r="M40" i="15"/>
  <c r="M39" i="16"/>
  <c r="L40" i="16"/>
  <c r="G42" i="15"/>
  <c r="F41" i="15"/>
  <c r="C42" i="15"/>
  <c r="B41" i="15"/>
  <c r="H41" i="16"/>
  <c r="H42" i="16"/>
  <c r="P41" i="16"/>
  <c r="R41" i="16" s="1"/>
  <c r="J42" i="16"/>
  <c r="P42" i="16" s="1"/>
  <c r="R42" i="16" s="1"/>
  <c r="F41" i="2"/>
  <c r="H41" i="2" s="1"/>
  <c r="R39" i="2"/>
  <c r="J40" i="2"/>
  <c r="P40" i="2" s="1"/>
  <c r="L40" i="2"/>
  <c r="M39" i="2"/>
  <c r="D40" i="16" l="1"/>
  <c r="B41" i="16"/>
  <c r="M41" i="15"/>
  <c r="L42" i="15"/>
  <c r="M42" i="15" s="1"/>
  <c r="M40" i="16"/>
  <c r="L41" i="16"/>
  <c r="F42" i="15"/>
  <c r="H42" i="15" s="1"/>
  <c r="H41" i="15"/>
  <c r="B42" i="15"/>
  <c r="D42" i="15" s="1"/>
  <c r="P42" i="15" s="1"/>
  <c r="R42" i="15" s="1"/>
  <c r="D41" i="15"/>
  <c r="P41" i="15" s="1"/>
  <c r="R41" i="15" s="1"/>
  <c r="R43" i="16"/>
  <c r="C43" i="13" s="1"/>
  <c r="C45" i="13" s="1"/>
  <c r="F42" i="2"/>
  <c r="H42" i="2" s="1"/>
  <c r="M40" i="2"/>
  <c r="L41" i="2"/>
  <c r="R40" i="2"/>
  <c r="J41" i="2"/>
  <c r="P41" i="2" s="1"/>
  <c r="L42" i="16" l="1"/>
  <c r="M42" i="16" s="1"/>
  <c r="M41" i="16"/>
  <c r="D41" i="16"/>
  <c r="B42" i="16"/>
  <c r="D42" i="16" s="1"/>
  <c r="R43" i="15"/>
  <c r="J42" i="2"/>
  <c r="P42" i="2" s="1"/>
  <c r="R41" i="2"/>
  <c r="L42" i="2"/>
  <c r="M42" i="2" s="1"/>
  <c r="M41" i="2"/>
  <c r="C47" i="13" l="1"/>
  <c r="C46" i="13" s="1"/>
  <c r="B43" i="13"/>
  <c r="B45" i="13" s="1"/>
  <c r="R42" i="2"/>
  <c r="R43" i="2" s="1"/>
  <c r="B47" i="13" s="1"/>
  <c r="B4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Lucie Harris</author>
  </authors>
  <commentList>
    <comment ref="B11" authorId="0" shapeId="0" xr:uid="{C1442CEE-06EA-40DF-A8F5-170686359587}">
      <text>
        <r>
          <rPr>
            <b/>
            <sz val="9"/>
            <color indexed="81"/>
            <rFont val="Tahoma"/>
            <family val="2"/>
          </rPr>
          <t>Lucie Harris:</t>
        </r>
        <r>
          <rPr>
            <sz val="9"/>
            <color indexed="81"/>
            <rFont val="Tahoma"/>
            <family val="2"/>
          </rPr>
          <t xml:space="preserve">
All of our calculations are based on contributions before allowance for the 50% reduction in July-Dec 2020.  This cell removes the reduction if the DRCs are input in those months.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Lucie Harris</author>
  </authors>
  <commentList>
    <comment ref="B11" authorId="0" shapeId="0" xr:uid="{D97B9D3F-5263-4CCF-ADDD-8DD44694EE07}">
      <text>
        <r>
          <rPr>
            <b/>
            <sz val="9"/>
            <color indexed="81"/>
            <rFont val="Tahoma"/>
            <family val="2"/>
          </rPr>
          <t>Lucie Harris:</t>
        </r>
        <r>
          <rPr>
            <sz val="9"/>
            <color indexed="81"/>
            <rFont val="Tahoma"/>
            <family val="2"/>
          </rPr>
          <t xml:space="preserve">
All of our calculations are based on contributions before allowance for the 50% reduction in July-Dec 2020.  This cell removes the reduction if the DRCs are input in those months.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Lucie Harris</author>
  </authors>
  <commentList>
    <comment ref="B11" authorId="0" shapeId="0" xr:uid="{26F01547-DFC9-4DD3-BA6E-14912AE2F7C5}">
      <text>
        <r>
          <rPr>
            <b/>
            <sz val="9"/>
            <color indexed="81"/>
            <rFont val="Tahoma"/>
            <family val="2"/>
          </rPr>
          <t>Lucie Harris:</t>
        </r>
        <r>
          <rPr>
            <sz val="9"/>
            <color indexed="81"/>
            <rFont val="Tahoma"/>
            <family val="2"/>
          </rPr>
          <t xml:space="preserve">
All of our calculations are based on contributions before allowance for the 50% reduction in July-Dec 2020.  This cell removes the reduction if the DRCs are input in those months.</t>
        </r>
      </text>
    </comment>
  </commentList>
</comments>
</file>

<file path=xl/sharedStrings.xml><?xml version="1.0" encoding="utf-8"?>
<sst xmlns="http://schemas.openxmlformats.org/spreadsheetml/2006/main" count="282" uniqueCount="174">
  <si>
    <t>Accounting date</t>
  </si>
  <si>
    <t>Accounting date:</t>
  </si>
  <si>
    <t>Current year</t>
  </si>
  <si>
    <t>Previous year</t>
  </si>
  <si>
    <t>Year from</t>
  </si>
  <si>
    <t>Total</t>
  </si>
  <si>
    <t>Projected DRCs</t>
  </si>
  <si>
    <t>Which RP is in force?</t>
  </si>
  <si>
    <t>2015 RP</t>
  </si>
  <si>
    <t>2012 RP</t>
  </si>
  <si>
    <t>Discounting factor</t>
  </si>
  <si>
    <t>Projected DRCs discounted</t>
  </si>
  <si>
    <t>Discount rate</t>
  </si>
  <si>
    <t>Discount rate - manual (pa)</t>
  </si>
  <si>
    <t>Inflation rate</t>
  </si>
  <si>
    <t>Is the date between Apr and Dec 2015?</t>
  </si>
  <si>
    <t>Recovery plan "Table 1"</t>
  </si>
  <si>
    <t>Pensioner Service</t>
  </si>
  <si>
    <t>less than 1</t>
  </si>
  <si>
    <t>1 to 2</t>
  </si>
  <si>
    <t>2 to 3</t>
  </si>
  <si>
    <t>3 to 4</t>
  </si>
  <si>
    <t>4 to 5</t>
  </si>
  <si>
    <t>5 to 6</t>
  </si>
  <si>
    <t>greater than 6</t>
  </si>
  <si>
    <t>% contribution</t>
  </si>
  <si>
    <t>Date</t>
  </si>
  <si>
    <t>Expected contribution</t>
  </si>
  <si>
    <t>Adjusted for % cont</t>
  </si>
  <si>
    <t>Adjustment</t>
  </si>
  <si>
    <t>These pick up yields from the input sheet and feed into the calcs sheets. Either lookup yeilds or takes manually entered yield if overridden.</t>
  </si>
  <si>
    <t>Recovery Plan dates</t>
  </si>
  <si>
    <t>Signed</t>
  </si>
  <si>
    <t>Ends</t>
  </si>
  <si>
    <t>Interest cost (recognised in SoFA)</t>
  </si>
  <si>
    <t>Balance sheet liability at year end</t>
  </si>
  <si>
    <t xml:space="preserve">Section 28.11A of FRS 102 requires agreed deficit recovery payments to be recognised as a liability.  The movement in the provision is set out in the table below. </t>
  </si>
  <si>
    <t>This liability represents the present value of the deficit contributions agreed as at the accounting date and has been valued using the following assumptions set by reference to the duration of the deficit recovery payments:</t>
  </si>
  <si>
    <t>Future increases to Minimum Pensionable Income</t>
  </si>
  <si>
    <t>Remaining change to balance sheet liability* (recognised in SoFA)</t>
  </si>
  <si>
    <t>Accounting date (year ending):</t>
  </si>
  <si>
    <t>Employer / Church name:</t>
  </si>
  <si>
    <t>Manual Overide (optional)</t>
  </si>
  <si>
    <r>
      <t xml:space="preserve">Please complete </t>
    </r>
    <r>
      <rPr>
        <u/>
        <sz val="10"/>
        <color theme="1"/>
        <rFont val="Arial"/>
        <family val="2"/>
        <scheme val="minor"/>
      </rPr>
      <t>all</t>
    </r>
    <r>
      <rPr>
        <sz val="10"/>
        <color theme="1"/>
        <rFont val="Arial"/>
        <family val="2"/>
        <scheme val="minor"/>
      </rPr>
      <t xml:space="preserve"> blue input cells</t>
    </r>
  </si>
  <si>
    <t>Lavender input cells are optional</t>
  </si>
  <si>
    <t>Default discount rate (pa)</t>
  </si>
  <si>
    <t>Default increase in MPI* (pa)</t>
  </si>
  <si>
    <t>*Minimum Pensionable Income</t>
  </si>
  <si>
    <t>Simplifications:</t>
  </si>
  <si>
    <t>Have used 365 in fraction for year length</t>
  </si>
  <si>
    <t>Havent adjusted for increase date of inflationary increase on last cont in RP</t>
  </si>
  <si>
    <t>FRS102 template disclosure</t>
  </si>
  <si>
    <t>Background to the disclosure</t>
  </si>
  <si>
    <t>The Church is an employer participating in a pension scheme known as the Baptist Pension Scheme (“the Scheme”), which is administered by the Pension Trustee (Baptist Pension Trust Limited).  The Scheme is a separate legal entity and the assets of the Scheme are held separately from those of the Employer and the other participating employers.</t>
  </si>
  <si>
    <t>For any month, each participating employer in the Scheme pays contributions as set out in the Schedule of Contributions in force at that time.</t>
  </si>
  <si>
    <t xml:space="preserve">The key assumptions underlying the valuation were as follows:  </t>
  </si>
  <si>
    <t>Type of financial assumption</t>
  </si>
  <si>
    <t>% pa</t>
  </si>
  <si>
    <t xml:space="preserve">RPI price inflation assumption </t>
  </si>
  <si>
    <t>CPI price inflation assumption</t>
  </si>
  <si>
    <t>Assumed investment returns</t>
  </si>
  <si>
    <t>- Pre-retirement</t>
  </si>
  <si>
    <t>- Post retirement</t>
  </si>
  <si>
    <t>Deferred pension increases</t>
  </si>
  <si>
    <t>- Pre April 2009</t>
  </si>
  <si>
    <t>- Post April 2009</t>
  </si>
  <si>
    <t>Pension increases</t>
  </si>
  <si>
    <t>Cessation Event [delete as necessary]</t>
  </si>
  <si>
    <t>Recovery Plan</t>
  </si>
  <si>
    <t>Movement in Balance Sheet liability</t>
  </si>
  <si>
    <t>Assumptions:</t>
  </si>
  <si>
    <t>MPI* increase rate - manual (pa)</t>
  </si>
  <si>
    <t>Inputs complete?</t>
  </si>
  <si>
    <t>Instructions for use</t>
  </si>
  <si>
    <t>Do not leave any blank blue cells or the disclosures will not be produced. Where a figure is zero, enter zero.</t>
  </si>
  <si>
    <t>The spreadsheet requires the following assumptions:</t>
  </si>
  <si>
    <t>- Assumed rate of future increase in the Minimum Pensionable Income</t>
  </si>
  <si>
    <t>In order to produce your disclosures, proceed to the "Inputs" worksheet and complete all blue cells.</t>
  </si>
  <si>
    <t>Inputs required</t>
  </si>
  <si>
    <t>Assumptions</t>
  </si>
  <si>
    <t>- Discount rate</t>
  </si>
  <si>
    <t>Each of these assumptions is required at the accounting date and on the equivalent date in the preceding two years.</t>
  </si>
  <si>
    <t>Disclosure</t>
  </si>
  <si>
    <t xml:space="preserve">For example, you will need to complete the following: </t>
  </si>
  <si>
    <t xml:space="preserve">- The wording regarding cessation events (the example wording can be deleted if not needed) </t>
  </si>
  <si>
    <t xml:space="preserve">Once you have completed the inputs and assumptions, the spreadsheet will calculate the figures required for your FRS102 disclosure. </t>
  </si>
  <si>
    <t>Further detail is below.</t>
  </si>
  <si>
    <t>FRS102 disclosures - calculation spreadsheet</t>
  </si>
  <si>
    <t>Annual Yield</t>
  </si>
  <si>
    <t>iBoxx £ Corporates AA 10-15</t>
  </si>
  <si>
    <t>IYFF</t>
  </si>
  <si>
    <t>MPI increase</t>
  </si>
  <si>
    <t xml:space="preserve">Discount rate </t>
  </si>
  <si>
    <t>10-year spot BoE infln annualised</t>
  </si>
  <si>
    <t>Under FRS102, employers that participate in multi-employer defined benefit schemes where there is insufficient information to do full defined benefit accounting, and where the employers are not under common control, need to recognise a liability to make payments to fund any deficit.  This in turn affects employers’ balance sheet values.  This differs from the approach under FRS17, which did not require employers to recognise a liability.</t>
  </si>
  <si>
    <t>* Comprises any change in agreed deficit recovery plan and change in assumptions between year-ends.</t>
  </si>
  <si>
    <t>NOTE</t>
  </si>
  <si>
    <t>You will also need to disclose details of costs in relation to benefits earned and expenses during the year, which should be equal to the contributions paid.</t>
  </si>
  <si>
    <t>Use of this spreadsheet</t>
  </si>
  <si>
    <t xml:space="preserve">This spreadsheet (including any calculations) has been provided to assist you and is only appropriate for the purposes described below.  </t>
  </si>
  <si>
    <t>Unless otherwise indicated, it is not intended to assist any other party nor should it be used to assist with any other action or decision.</t>
  </si>
  <si>
    <t>It is provided for your sole use and is confidential to you.  You should not provide it, in whole or in part, to any third party other than your professional advisers for the purposes of the provision of services to you unless you have obtained prior written consent from BUGB to the form and context in which you wish to do so.</t>
  </si>
  <si>
    <t xml:space="preserve">The "Disclosure" worksheet will then be automatically populated and can be inserted into your accounts as needed. </t>
  </si>
  <si>
    <t xml:space="preserve">Then consider the assumptions to be used (see notes below) and if necessary complete the lavender cells. </t>
  </si>
  <si>
    <t>The "Disclosure" sheet sets out possible wording and figures required for your accounts, and can be printed as required.</t>
  </si>
  <si>
    <t xml:space="preserve">You will need to tailor some of the disclosure wording to your specific circumstances and check you are happy that iti is accurate for your organisation. </t>
  </si>
  <si>
    <t>- The wording relating to employer eligibility in the background section</t>
  </si>
  <si>
    <t>You will also need to add:</t>
  </si>
  <si>
    <t>- Details of costs in relation to benefits earned and expenses during the year, which should be equal to the employer contributions paid for that part.  For the Baptist Pension Scheme this is based on the total of "Employer's monthly pension contribution" in the letters you were sent regarding your contributions to the Scheme.</t>
  </si>
  <si>
    <t>- Details of any relevant pensions arrangements other than the Baptist Pension Scheme</t>
  </si>
  <si>
    <t>The Baptist Union of Great Britain (BUGB), Baptist Pension Trustee Limited (BPTL) and their advisers accept no liability to any party to this spreadsheet has been provided (with or without our consent), unless that party has asked us to confirm our liability to them in relation to this work, and we have done so in writing.</t>
  </si>
  <si>
    <t>The purpose of this spreadsheet is to enable employers participating in the Baptist Pension Scheme to calculate figures relating to deficiency payments in the Scheme, as required for FRS 102 disclosures.  It should not be used for any other purpose.</t>
  </si>
  <si>
    <t>Deficiency contributions due:</t>
  </si>
  <si>
    <t>Deficiency contributions payable in the month to:</t>
  </si>
  <si>
    <t>Please refer to the Instructions sheet for more details.</t>
  </si>
  <si>
    <t>FRS102 pensions disclosure</t>
  </si>
  <si>
    <t>The Scheme is considered to be a multi-employer scheme as described in Section 28 of FRS 102.  This is because it is not possible to attribute the Scheme’s assets and liabilities to specific employers and means that contributions are accounted for as if the Scheme were a defined contribution scheme.  The pensions costs charged to the SoFA in the year are contributions payable towards benefits and expenses accrued in that year, plus any impact of deficiency contributions (see below).</t>
  </si>
  <si>
    <t>Minus deficiency contributions paid</t>
  </si>
  <si>
    <t>This includes the balance sheet liability at the accounting date, the reconciliation of the balance sheet liability over the year leading up to the accounting date, and prior year comparators.  The balance sheet liability is calculated as the present value of your organisation's future deficiency contributions, as at the accounting date and based on the information and assumptions you have entered.</t>
  </si>
  <si>
    <t xml:space="preserve">This spreadsheet will enable you to complete an FRS102 disclosure in respect of the deficiency contributions paid by your organisation to the Baptist Pension Scheme.
When you input the required data, the spreadsheet will produce the FRS102 disclosure.
To complete the spreadsheet you will need to know:
•         the current %age rate of pension deficiency contribution for your organisation
•         the £ amounts of deficency contributions made in the last 2 years by your organisation
You will also need to include assumptions about future discount rates and future increases in Minimum Pensionable Income. Making these assumptions is the responsibility of the Employer, but to assist you, default assumptions are provided. These default assumptions can be manually overridden if you wish. </t>
  </si>
  <si>
    <t>This spreadsheet calculates figures relating to deficiency payments in the Defined Benefit plan of the Baptist Pension Scheme only.  Contributions in relation to expenses and current and future pensionable service in the Defined Contribution plan of the Baptist Pension Scheme, and contributions to other pension schemes need to be calculated and disclosed separately.</t>
  </si>
  <si>
    <t>The inputs required to populate the FRS102 Disclosure document are as follows:</t>
  </si>
  <si>
    <t>- The Church/Employer name</t>
  </si>
  <si>
    <t>- The accounting date at which you require the FRS102 figures (must be a month end).</t>
  </si>
  <si>
    <t>- The amount of deficiency contributions due in the month following the accounting date.</t>
  </si>
  <si>
    <t>- The amount of deficiency contributions payable each month for the two years preceding the accounting date.  This information can be found in the annual letters you have received from the BPS regarding your monthly Baptist Pension Scheme contributions.  It is labelled "deficiency contribution".</t>
  </si>
  <si>
    <t>The spreadsheet provides default assumptions which we believe are consistent with the requirements of FRS102.  However, the assumptions underlying the FRS102 disclosures are ultimately the responsibility of the Employer and the spreadsheet allows the employer to manually override the defaults, if it wishes to use other assumptions.</t>
  </si>
  <si>
    <t>Enter the % rate of Minimum Pensionable Income currently payable as deficiency contributions by your organisation. This information is available in the letter you received in November 2015 under the heading "Level of deficit contributions".  (Most employers pay 12% of MPI, although some employers with a limited period of participation in the Scheme pay a lower rate, between 6% and 11%.  If you are unsure what rate you are paying, please contact LCP.)</t>
  </si>
  <si>
    <t>In particular, please note that an employer's balance sheet liability under FRS 102 is not the same as their potential employer debt exposure.</t>
  </si>
  <si>
    <t>Version no</t>
  </si>
  <si>
    <t>allow formatting of columns, allow users to amend wording in the cessation event section of the disclosure worksheet</t>
  </si>
  <si>
    <t>Change</t>
  </si>
  <si>
    <t>Benefits in respect of service prior to 1 January 2012 are provided through the Defined Benefit (DB) Plan within the Scheme.  The main benefits for pre-2012 service were a defined benefit pension of one eightieth of Final Minimum Pensionable Income for each year of Pensionable Service, together with additional pension in respect of premiums paid on Pensionable Income in excess of Minimum Pensionable Income.  The Scheme, previously known as the Baptist Ministers’ Pension Fund, started in 1925, but was closed to future accrual of defined benefits on 31 December 2011.</t>
  </si>
  <si>
    <t>May 2018 v1.0</t>
  </si>
  <si>
    <t>add 2018 valuation Rec Plan, update wording</t>
  </si>
  <si>
    <t>2018 RP</t>
  </si>
  <si>
    <t>2015 RP signed</t>
  </si>
  <si>
    <t>2018 RP signed</t>
  </si>
  <si>
    <t>RP end date</t>
  </si>
  <si>
    <t>Contribution Rate:</t>
  </si>
  <si>
    <t xml:space="preserve">The template has been prepared to be helpful to churches and other employers that participate in the Scheme (the “Employers”) but the disclosure is ultimately the relevant Employer's responsibility.  </t>
  </si>
  <si>
    <t xml:space="preserve">In addition to the contributions to the DC Plan set out above, where a valuation of the DB Plan reveals a deficit the Trustee and the Council agree to a rate of deficiency contributions from churches and other employers involved in the DB Plan. </t>
  </si>
  <si>
    <t>[Consequent upon [the departure of the Minister from the Church in [year]], the Church had a cessation event under Section 75 of the Pensions Act 1995. This makes the Church liable for the proportion of the overall deficit (assessed by reference to the cost of securing benefits by the purchase of annuities) applicable to its previous Ministers who were members of the Scheme. 
[plus further detail, for example one of the following]:
a) The BPS Trustee has the right to quantify and seek payment of this debt at any time at its discretion. The Church is currently in discussion with the BPS Trustee about settling this debt [which amounts to £X].  [Once the Church has settled this debt, it will have no further obligation to the BPS.]
b) In [year] the Church entered into a “Deferred Debt Arrangement”. Under this arrangement the Church is no longer liable for this debt, but the Church continues to pay the ongoing deficiency contributions as outlined above. There are limited circumstances under the Deferred Debt Arrangement where the Church would become responsible for a debt equal to its share of the current BPS deficit (assessed by reference to the up to date cost of securing benefits by the purchase of annuities).] 
[Note: the above should be updated / removed to reflect your own particular circumstances.  Churches that have been offered a Double Cessation Debt Arrangement should consider the extent to which this requires disclosure.]</t>
  </si>
  <si>
    <t>2018 RP - 50% reduction</t>
  </si>
  <si>
    <t>Adjusted for 50% reduction</t>
  </si>
  <si>
    <t>BloombergTickers.xls</t>
  </si>
  <si>
    <t>DR (unrounded)</t>
  </si>
  <si>
    <t>Copy of GLC Inflation month end data_2016 to present - to June 2020.xlsx</t>
  </si>
  <si>
    <t>Added May 2016 and below.</t>
  </si>
  <si>
    <t>Highlighted cells are manual adjustments to tie in assumptions in FRS102 table already in place</t>
  </si>
  <si>
    <t>2020 RP</t>
  </si>
  <si>
    <t>Actuarial valuation as at 31 December 2019</t>
  </si>
  <si>
    <t xml:space="preserve">The next actuarial valuation of the DB Plan within the Scheme is due to take place not later than as at 31 December 2022. </t>
  </si>
  <si>
    <t>Number of days in reduced period</t>
  </si>
  <si>
    <t>Input DRCs</t>
  </si>
  <si>
    <t>First month DRCs (no reduction)</t>
  </si>
  <si>
    <t>Minimum Pensionable Income increases (RPI)</t>
  </si>
  <si>
    <t>- Main Scheme pension</t>
  </si>
  <si>
    <t>Contributions payable between 1 July 2020 and 31 December 2020 are reduced by 50%. Please enter the actual contributions payable ie including the 50% reduction between those dates.</t>
  </si>
  <si>
    <t>- The % rate of Minimum Pensionable Income currently payable as deficiency contributions by your organisation, in accordance with the Baptist Pension Scheme's recovery plan.  This information is available in the letter you received in November 2015 under the heading "Level of deficit contributions".  (Most employers pay 12% of MPI, although some employers with a limited period of participation in the Scheme pay a lower rate, between 6% and 11%.  If you are unsure what rate you are paying, please contact Broadstone - the Scheme administrator.)</t>
  </si>
  <si>
    <t>The Baptist Union of Great Britain (BUGB), Baptist Pension Trustee Limited (BPTL) and their advisers accept no liability to any party to whom this spreadsheet has been provided (with or without our consent), unless that party has asked us to confirm our liability to them in relation to this work, and we have done so in writing.</t>
  </si>
  <si>
    <t>A formal valuation of the Defined Benefit (DB) Plan was performed at 31 December 2019 by a professionally qualified Actuary using the Projected Unit Method. The market value of the DB Plan assets at the valuation date was £298 million. 
The valuation of the DB Plan revealed a deficit of assets compared with the value of liabilities of £18 million (equivalent to a past service funding level of 94%).  The Church and the other employers supporting the DB Plan are collectively responsible for funding this deficit.</t>
  </si>
  <si>
    <r>
      <t>§</t>
    </r>
    <r>
      <rPr>
        <sz val="7"/>
        <rFont val="Times New Roman"/>
        <family val="1"/>
      </rPr>
      <t xml:space="preserve">   </t>
    </r>
    <r>
      <rPr>
        <sz val="9"/>
        <rFont val="Arial"/>
        <family val="2"/>
        <scheme val="minor"/>
      </rPr>
      <t xml:space="preserve">Post–retirement mortality in accordance with 80% of the S3NFA and S3NMA tables, with allowance for future improvements in mortality rates from 2013 in line with the CMI 2019 core projections, with a long term annual rate of improvement of 1.75% for males and 1.5% for females, with the core smoothing parameter and with additional initial mortality improvement factor A=0.5%.  </t>
    </r>
  </si>
  <si>
    <t xml:space="preserve">Under the current Recovery Plan dated 30 September 2020, deficiency contributions are payable until 30 June 2026. These contributions are broadly based on the employer's membership at 31 December 2014 and increase annually in line with increases to Minimum Pensionable Income as defined in the Rules. However, the Trustee and the Council agreed a 50% reduction for all deficiency contributions payable between 1 July 2020 and 31 December 2020. </t>
  </si>
  <si>
    <t>The Minister(s) [and some members of the church staff] is / are eligible to join the Scheme.
From January 2012, pension provision is being made through the Defined Contribution (DC) Plan within the Scheme. In general, members pay 8% of their Pensionable Income and employers pay 6% of members’ Pensionable Income into individual pension accounts, which are operated and managed on behalf of the Pension Trustee by Legal and General Life Assurance Society Limited. In addition, the employer pays a further 4% of Pensionable Income to cover Death in Service Benefits, administration costs, and an associated insurance policy which provides income protection for Scheme members in the event that they are unable to work due to long-term incapacity. This income protection policy has been insured by the Baptist Union of Great Britain with Aviva plc. [Members of the Basic Section pay reduced contributions of 5% of Pensionable Income, and their employers also pay a total of 5%.] The further 4% contribution rate is reduced to 3% for Employer contributions made to the Segregated DC Arrangement.</t>
  </si>
  <si>
    <t xml:space="preserve">Disclosures can be calculated using this spreadsheet at any accounting date from 30 June 2015 onwards, provided it is a month-end.  </t>
  </si>
  <si>
    <t>It is important to always use the most recent version of this spreadsheet, which can be found on the BPS website.</t>
  </si>
  <si>
    <t>These cells will only be automatically populated for accounting dates on or before 31 January 2021.</t>
  </si>
  <si>
    <t>Enter assumptions here if you wish to manually override any of the above default assumptions, or if default assumptions are not available based on the date you have chosen.  Default assumptions for dates after 31 January 2021 are available on the Baptist Pensions website.</t>
  </si>
  <si>
    <t xml:space="preserve">For accounting dates on or before 31 January 2021, the spreadsheet provides some default assumptions.  These default assumptions will only be used if you do not manually enter alternative assumptions in the lavender cells.  </t>
  </si>
  <si>
    <t>For accounting dates after 31 January 2021, updated default assumptions can be found on the Baptist Pension Scheme website.</t>
  </si>
  <si>
    <t>OMM updated 24/02/2021</t>
  </si>
  <si>
    <t>ANK updated inflation assumptions from 31/08/2020 to 31/01/2020 - OMM checks and agreed all</t>
  </si>
  <si>
    <t>MQS updated 26/02/2021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</si>
</sst>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F800]dddd\,\ mmmm\ dd\,\ yyyy"/>
    <numFmt numFmtId="165" formatCode="&quot;£&quot;#,##0.00"/>
    <numFmt numFmtId="166" formatCode="0.0%"/>
    <numFmt numFmtId="167" formatCode="&quot;£&quot;#,##0"/>
    <numFmt numFmtId="168" formatCode="0.0000"/>
    <numFmt numFmtId="169" formatCode="_-* #,##0_-;\-* #,##0_-;_-* &quot;-&quot;??_-;_-@_-"/>
  </numFmts>
  <fonts count="32" x14ac:knownFonts="1">
    <font>
      <sz val="10"/>
      <color theme="1"/>
      <name val="Arial"/>
      <family val="2"/>
      <scheme val="minor"/>
    </font>
    <font>
      <sz val="10"/>
      <color theme="1"/>
      <name val="Arial"/>
      <family val="2"/>
    </font>
    <font>
      <sz val="10"/>
      <color theme="1"/>
      <name val="Arial"/>
      <family val="2"/>
    </font>
    <font>
      <sz val="10"/>
      <color theme="1"/>
      <name val="Arial"/>
      <family val="2"/>
      <scheme val="minor"/>
    </font>
    <font>
      <b/>
      <sz val="12"/>
      <color theme="3"/>
      <name val="Arial"/>
      <family val="2"/>
      <scheme val="minor"/>
    </font>
    <font>
      <sz val="12"/>
      <color theme="3"/>
      <name val="Arial"/>
      <family val="2"/>
      <scheme val="minor"/>
    </font>
    <font>
      <b/>
      <sz val="10"/>
      <color theme="1"/>
      <name val="Arial"/>
      <family val="2"/>
      <scheme val="minor"/>
    </font>
    <font>
      <i/>
      <sz val="16"/>
      <color rgb="FF00A3C7"/>
      <name val="Georgia"/>
      <family val="1"/>
    </font>
    <font>
      <b/>
      <sz val="9"/>
      <color rgb="FF00A3C7"/>
      <name val="Arial"/>
      <family val="2"/>
      <scheme val="minor"/>
    </font>
    <font>
      <sz val="9"/>
      <color theme="1"/>
      <name val="Arial"/>
      <family val="2"/>
      <scheme val="minor"/>
    </font>
    <font>
      <b/>
      <sz val="9"/>
      <color theme="1"/>
      <name val="Arial"/>
      <family val="2"/>
      <scheme val="minor"/>
    </font>
    <font>
      <b/>
      <sz val="9"/>
      <color rgb="FFFFFFFF"/>
      <name val="Arial"/>
      <family val="2"/>
      <scheme val="minor"/>
    </font>
    <font>
      <u/>
      <sz val="10"/>
      <color theme="1"/>
      <name val="Arial"/>
      <family val="2"/>
      <scheme val="minor"/>
    </font>
    <font>
      <b/>
      <sz val="10"/>
      <color rgb="FFFF0000"/>
      <name val="Arial"/>
      <family val="2"/>
      <scheme val="minor"/>
    </font>
    <font>
      <b/>
      <sz val="9"/>
      <color theme="0"/>
      <name val="Arial"/>
      <family val="2"/>
      <scheme val="minor"/>
    </font>
    <font>
      <sz val="9"/>
      <name val="Arial"/>
      <family val="2"/>
      <scheme val="minor"/>
    </font>
    <font>
      <sz val="11"/>
      <color theme="1"/>
      <name val="Arial"/>
      <family val="2"/>
      <scheme val="minor"/>
    </font>
    <font>
      <sz val="10"/>
      <name val="Arial"/>
      <family val="2"/>
      <scheme val="minor"/>
    </font>
    <font>
      <sz val="10"/>
      <name val="Times New Roman"/>
      <family val="1"/>
    </font>
    <font>
      <b/>
      <i/>
      <u/>
      <sz val="10"/>
      <color theme="1"/>
      <name val="Arial"/>
      <family val="2"/>
      <scheme val="minor"/>
    </font>
    <font>
      <i/>
      <sz val="10"/>
      <color theme="1"/>
      <name val="Arial"/>
      <family val="2"/>
      <scheme val="minor"/>
    </font>
    <font>
      <b/>
      <i/>
      <sz val="10"/>
      <color theme="1"/>
      <name val="Arial"/>
      <family val="2"/>
      <scheme val="minor"/>
    </font>
    <font>
      <b/>
      <sz val="10"/>
      <color rgb="FF00A3C7"/>
      <name val="Arial"/>
      <family val="2"/>
      <scheme val="minor"/>
    </font>
    <font>
      <sz val="10"/>
      <color rgb="FFFF0000"/>
      <name val="Arial"/>
      <family val="2"/>
      <scheme val="minor"/>
    </font>
    <font>
      <sz val="9"/>
      <name val="Wingdings"/>
      <charset val="2"/>
    </font>
    <font>
      <sz val="7"/>
      <name val="Times New Roman"/>
      <family val="1"/>
    </font>
    <font>
      <b/>
      <sz val="10"/>
      <name val="Arial"/>
      <family val="2"/>
      <scheme val="minor"/>
    </font>
    <font>
      <u/>
      <sz val="10"/>
      <color theme="10"/>
      <name val="Arial"/>
      <family val="2"/>
      <scheme val="minor"/>
    </font>
    <font>
      <b/>
      <sz val="9"/>
      <color indexed="81"/>
      <name val="Tahoma"/>
      <family val="2"/>
    </font>
    <font>
      <sz val="9"/>
      <color indexed="81"/>
      <name val="Tahoma"/>
      <family val="2"/>
    </font>
    <font>
      <sz val="10"/>
      <color rgb="FF00B050"/>
      <name val="Arial"/>
      <family val="2"/>
      <scheme val="minor"/>
    </font>
    <font>
      <sz val="10"/>
      <color rgb="FF0070C0"/>
      <name val="Arial"/>
      <family val="2"/>
      <scheme val="minor"/>
    </font>
  </fonts>
  <fills count="8">
    <fill>
      <patternFill patternType="none"/>
    </fill>
    <fill>
      <patternFill patternType="gray125"/>
    </fill>
    <fill>
      <patternFill patternType="solid">
        <fgColor theme="2" tint="0.79998168889431442"/>
        <bgColor indexed="64"/>
      </patternFill>
    </fill>
    <fill>
      <patternFill patternType="solid">
        <fgColor theme="5" tint="0.79998168889431442"/>
        <bgColor indexed="64"/>
      </patternFill>
    </fill>
    <fill>
      <patternFill patternType="solid">
        <fgColor rgb="FF00A3C7"/>
        <bgColor indexed="64"/>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s>
  <borders count="66">
    <border>
      <left/>
      <right/>
      <top/>
      <bottom/>
      <diagonal/>
    </border>
    <border>
      <left style="thin">
        <color theme="3"/>
      </left>
      <right style="thin">
        <color theme="3"/>
      </right>
      <top style="thin">
        <color theme="3"/>
      </top>
      <bottom style="thin">
        <color theme="3"/>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3"/>
      </left>
      <right style="thin">
        <color theme="0"/>
      </right>
      <top style="thin">
        <color theme="3"/>
      </top>
      <bottom style="thin">
        <color theme="0"/>
      </bottom>
      <diagonal/>
    </border>
    <border>
      <left style="thin">
        <color theme="0"/>
      </left>
      <right style="thin">
        <color theme="3"/>
      </right>
      <top style="thin">
        <color theme="3"/>
      </top>
      <bottom style="thin">
        <color theme="0"/>
      </bottom>
      <diagonal/>
    </border>
    <border>
      <left style="thin">
        <color theme="3"/>
      </left>
      <right style="thin">
        <color theme="0"/>
      </right>
      <top style="thin">
        <color theme="0"/>
      </top>
      <bottom style="thin">
        <color theme="0"/>
      </bottom>
      <diagonal/>
    </border>
    <border>
      <left style="thin">
        <color theme="0"/>
      </left>
      <right style="thin">
        <color theme="3"/>
      </right>
      <top style="thin">
        <color theme="0"/>
      </top>
      <bottom style="thin">
        <color theme="0"/>
      </bottom>
      <diagonal/>
    </border>
    <border>
      <left style="thin">
        <color theme="3"/>
      </left>
      <right style="thin">
        <color theme="0"/>
      </right>
      <top style="thin">
        <color theme="0"/>
      </top>
      <bottom style="thin">
        <color theme="3"/>
      </bottom>
      <diagonal/>
    </border>
    <border>
      <left style="thin">
        <color theme="0"/>
      </left>
      <right style="thin">
        <color theme="3"/>
      </right>
      <top style="thin">
        <color theme="0"/>
      </top>
      <bottom style="thin">
        <color theme="3"/>
      </bottom>
      <diagonal/>
    </border>
    <border>
      <left style="thin">
        <color theme="3"/>
      </left>
      <right style="thin">
        <color theme="0"/>
      </right>
      <top style="thin">
        <color theme="3"/>
      </top>
      <bottom style="thin">
        <color theme="3"/>
      </bottom>
      <diagonal/>
    </border>
    <border>
      <left style="thin">
        <color theme="0"/>
      </left>
      <right style="thin">
        <color theme="3"/>
      </right>
      <top style="thin">
        <color theme="3"/>
      </top>
      <bottom style="thin">
        <color theme="3"/>
      </bottom>
      <diagonal/>
    </border>
    <border>
      <left style="thin">
        <color theme="3"/>
      </left>
      <right style="thin">
        <color theme="3"/>
      </right>
      <top style="thin">
        <color theme="3"/>
      </top>
      <bottom style="thin">
        <color theme="0"/>
      </bottom>
      <diagonal/>
    </border>
    <border>
      <left style="thin">
        <color theme="3"/>
      </left>
      <right style="thin">
        <color theme="3"/>
      </right>
      <top style="thin">
        <color theme="0"/>
      </top>
      <bottom style="thin">
        <color theme="0"/>
      </bottom>
      <diagonal/>
    </border>
    <border>
      <left style="thin">
        <color theme="3"/>
      </left>
      <right style="thin">
        <color theme="3"/>
      </right>
      <top style="thin">
        <color theme="0"/>
      </top>
      <bottom style="thin">
        <color theme="3"/>
      </bottom>
      <diagonal/>
    </border>
    <border>
      <left/>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3"/>
      </left>
      <right style="thin">
        <color theme="3"/>
      </right>
      <top/>
      <bottom style="thin">
        <color theme="0"/>
      </bottom>
      <diagonal/>
    </border>
    <border>
      <left style="thin">
        <color theme="3"/>
      </left>
      <right style="thin">
        <color theme="3"/>
      </right>
      <top style="thin">
        <color theme="3"/>
      </top>
      <bottom/>
      <diagonal/>
    </border>
    <border>
      <left/>
      <right/>
      <top/>
      <bottom style="thick">
        <color rgb="FFFFFFFF"/>
      </bottom>
      <diagonal/>
    </border>
    <border>
      <left/>
      <right/>
      <top/>
      <bottom style="medium">
        <color rgb="FF00A3C7"/>
      </bottom>
      <diagonal/>
    </border>
    <border>
      <left/>
      <right style="thick">
        <color rgb="FFFFFFFF"/>
      </right>
      <top style="thick">
        <color rgb="FFFFFFFF"/>
      </top>
      <bottom style="thin">
        <color theme="0"/>
      </bottom>
      <diagonal/>
    </border>
    <border>
      <left style="thick">
        <color rgb="FFFFFFFF"/>
      </left>
      <right style="thick">
        <color rgb="FFFFFFFF"/>
      </right>
      <top style="thick">
        <color rgb="FFFFFFFF"/>
      </top>
      <bottom style="thin">
        <color theme="0"/>
      </bottom>
      <diagonal/>
    </border>
    <border>
      <left/>
      <right style="thick">
        <color rgb="FFFFFFFF"/>
      </right>
      <top style="thin">
        <color theme="0"/>
      </top>
      <bottom style="thin">
        <color theme="0"/>
      </bottom>
      <diagonal/>
    </border>
    <border>
      <left style="thick">
        <color rgb="FFFFFFFF"/>
      </left>
      <right style="thick">
        <color rgb="FFFFFFFF"/>
      </right>
      <top style="thin">
        <color theme="0"/>
      </top>
      <bottom style="thin">
        <color theme="0"/>
      </bottom>
      <diagonal/>
    </border>
    <border>
      <left style="thin">
        <color theme="0"/>
      </left>
      <right/>
      <top/>
      <bottom style="medium">
        <color theme="3"/>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n">
        <color theme="0"/>
      </left>
      <right style="thin">
        <color theme="0"/>
      </right>
      <top/>
      <bottom style="medium">
        <color theme="3"/>
      </bottom>
      <diagonal/>
    </border>
    <border>
      <left/>
      <right style="thick">
        <color rgb="FFFFFFFF"/>
      </right>
      <top style="thin">
        <color theme="0"/>
      </top>
      <bottom/>
      <diagonal/>
    </border>
    <border>
      <left style="thick">
        <color rgb="FFFFFFFF"/>
      </left>
      <right style="thick">
        <color rgb="FFFFFFFF"/>
      </right>
      <top style="thin">
        <color theme="0"/>
      </top>
      <bottom/>
      <diagonal/>
    </border>
    <border>
      <left/>
      <right/>
      <top/>
      <bottom style="medium">
        <color theme="3"/>
      </bottom>
      <diagonal/>
    </border>
    <border>
      <left style="thin">
        <color theme="0"/>
      </left>
      <right/>
      <top/>
      <bottom/>
      <diagonal/>
    </border>
    <border>
      <left/>
      <right style="thin">
        <color theme="0"/>
      </right>
      <top/>
      <bottom/>
      <diagonal/>
    </border>
    <border>
      <left/>
      <right style="thin">
        <color theme="0"/>
      </right>
      <top style="thin">
        <color theme="3"/>
      </top>
      <bottom style="thin">
        <color theme="0"/>
      </bottom>
      <diagonal/>
    </border>
    <border>
      <left/>
      <right style="thin">
        <color theme="0"/>
      </right>
      <top style="thin">
        <color theme="0"/>
      </top>
      <bottom style="thin">
        <color theme="3"/>
      </bottom>
      <diagonal/>
    </border>
    <border>
      <left style="thin">
        <color theme="0"/>
      </left>
      <right/>
      <top style="thin">
        <color theme="3"/>
      </top>
      <bottom style="thin">
        <color theme="0"/>
      </bottom>
      <diagonal/>
    </border>
    <border>
      <left style="thin">
        <color theme="0"/>
      </left>
      <right/>
      <top style="thin">
        <color theme="0"/>
      </top>
      <bottom style="thin">
        <color theme="3"/>
      </bottom>
      <diagonal/>
    </border>
    <border>
      <left/>
      <right style="thin">
        <color theme="3"/>
      </right>
      <top style="thin">
        <color theme="3"/>
      </top>
      <bottom style="thin">
        <color theme="0"/>
      </bottom>
      <diagonal/>
    </border>
    <border>
      <left/>
      <right style="thin">
        <color theme="3"/>
      </right>
      <top style="thin">
        <color theme="0"/>
      </top>
      <bottom style="thin">
        <color theme="0"/>
      </bottom>
      <diagonal/>
    </border>
    <border>
      <left/>
      <right style="thin">
        <color theme="3"/>
      </right>
      <top style="thin">
        <color theme="0"/>
      </top>
      <bottom style="thin">
        <color theme="3"/>
      </bottom>
      <diagonal/>
    </border>
    <border>
      <left style="thin">
        <color theme="3"/>
      </left>
      <right style="thin">
        <color theme="3"/>
      </right>
      <top/>
      <bottom style="thin">
        <color theme="3"/>
      </bottom>
      <diagonal/>
    </border>
    <border>
      <left style="thin">
        <color theme="3"/>
      </left>
      <right style="thin">
        <color theme="3"/>
      </right>
      <top/>
      <bottom/>
      <diagonal/>
    </border>
    <border>
      <left style="thin">
        <color theme="3"/>
      </left>
      <right style="thin">
        <color theme="0"/>
      </right>
      <top/>
      <bottom style="thin">
        <color theme="0"/>
      </bottom>
      <diagonal/>
    </border>
    <border>
      <left style="thin">
        <color theme="0"/>
      </left>
      <right style="thin">
        <color theme="0"/>
      </right>
      <top style="thin">
        <color theme="3"/>
      </top>
      <bottom style="thin">
        <color theme="3"/>
      </bottom>
      <diagonal/>
    </border>
    <border>
      <left style="thin">
        <color theme="0"/>
      </left>
      <right style="thin">
        <color theme="3"/>
      </right>
      <top/>
      <bottom style="thin">
        <color theme="0"/>
      </bottom>
      <diagonal/>
    </border>
    <border>
      <left style="thin">
        <color theme="0"/>
      </left>
      <right style="thin">
        <color theme="3"/>
      </right>
      <top style="thin">
        <color theme="3"/>
      </top>
      <bottom/>
      <diagonal/>
    </border>
    <border>
      <left style="thin">
        <color theme="0"/>
      </left>
      <right/>
      <top style="thin">
        <color theme="3"/>
      </top>
      <bottom style="thin">
        <color theme="3"/>
      </bottom>
      <diagonal/>
    </border>
    <border>
      <left style="thin">
        <color theme="0"/>
      </left>
      <right style="thin">
        <color theme="0"/>
      </right>
      <top style="thin">
        <color theme="3"/>
      </top>
      <bottom/>
      <diagonal/>
    </border>
    <border>
      <left style="thin">
        <color theme="0"/>
      </left>
      <right style="thin">
        <color theme="3"/>
      </right>
      <top/>
      <bottom/>
      <diagonal/>
    </border>
    <border>
      <left style="thin">
        <color theme="0"/>
      </left>
      <right style="thin">
        <color theme="0"/>
      </right>
      <top/>
      <bottom style="thin">
        <color theme="3"/>
      </bottom>
      <diagonal/>
    </border>
    <border>
      <left style="thin">
        <color theme="0"/>
      </left>
      <right style="thin">
        <color theme="3"/>
      </right>
      <top/>
      <bottom style="thin">
        <color theme="3"/>
      </bottom>
      <diagonal/>
    </border>
    <border>
      <left style="thin">
        <color theme="0"/>
      </left>
      <right style="thin">
        <color theme="0"/>
      </right>
      <top style="thin">
        <color theme="3"/>
      </top>
      <bottom style="thin">
        <color theme="0"/>
      </bottom>
      <diagonal/>
    </border>
  </borders>
  <cellStyleXfs count="10">
    <xf numFmtId="0" fontId="0" fillId="0" borderId="0"/>
    <xf numFmtId="9" fontId="3" fillId="0" borderId="0" applyFont="0" applyFill="0" applyBorder="0" applyAlignment="0" applyProtection="0"/>
    <xf numFmtId="0" fontId="16" fillId="0" borderId="0"/>
    <xf numFmtId="0" fontId="2" fillId="0" borderId="0"/>
    <xf numFmtId="0" fontId="18" fillId="0" borderId="0"/>
    <xf numFmtId="0" fontId="18" fillId="0" borderId="0"/>
    <xf numFmtId="0" fontId="27" fillId="0" borderId="0" applyNumberFormat="0" applyFill="0" applyBorder="0" applyAlignment="0" applyProtection="0"/>
    <xf numFmtId="43" fontId="3" fillId="0" borderId="0" applyFont="0" applyFill="0" applyBorder="0" applyAlignment="0" applyProtection="0"/>
    <xf numFmtId="0" fontId="1" fillId="0" borderId="0"/>
    <xf numFmtId="43" fontId="3" fillId="0" borderId="0" applyFont="0" applyFill="0" applyBorder="0" applyAlignment="0" applyProtection="0"/>
  </cellStyleXfs>
  <cellXfs count="346">
    <xf numFmtId="0" fontId="0" fillId="0" borderId="0" xfId="0"/>
    <xf numFmtId="0" fontId="3" fillId="0" borderId="2" xfId="0" applyFont="1" applyBorder="1"/>
    <xf numFmtId="0" fontId="4" fillId="0" borderId="2" xfId="0" applyFont="1" applyBorder="1"/>
    <xf numFmtId="0" fontId="5" fillId="0" borderId="2" xfId="0" applyFont="1" applyBorder="1"/>
    <xf numFmtId="1" fontId="6" fillId="0" borderId="2" xfId="0" applyNumberFormat="1" applyFont="1" applyBorder="1"/>
    <xf numFmtId="0" fontId="6" fillId="0" borderId="2" xfId="0" applyFont="1" applyBorder="1"/>
    <xf numFmtId="164" fontId="0" fillId="0" borderId="2" xfId="0" applyNumberFormat="1" applyFont="1" applyBorder="1" applyAlignment="1">
      <alignment horizontal="right"/>
    </xf>
    <xf numFmtId="164" fontId="3" fillId="0" borderId="2" xfId="0" applyNumberFormat="1" applyFont="1" applyBorder="1" applyAlignment="1">
      <alignment horizontal="left"/>
    </xf>
    <xf numFmtId="165" fontId="6" fillId="0" borderId="2" xfId="0" applyNumberFormat="1" applyFont="1" applyBorder="1"/>
    <xf numFmtId="0" fontId="0" fillId="0" borderId="2" xfId="0" applyBorder="1"/>
    <xf numFmtId="14" fontId="0" fillId="0" borderId="2" xfId="0" applyNumberFormat="1" applyBorder="1"/>
    <xf numFmtId="14" fontId="0" fillId="0" borderId="2" xfId="0" applyNumberFormat="1" applyFont="1" applyBorder="1"/>
    <xf numFmtId="0" fontId="6" fillId="0" borderId="6" xfId="0" applyFont="1" applyBorder="1"/>
    <xf numFmtId="14" fontId="6" fillId="0" borderId="6" xfId="0" applyNumberFormat="1" applyFont="1" applyBorder="1"/>
    <xf numFmtId="0" fontId="0" fillId="0" borderId="6" xfId="0" applyBorder="1"/>
    <xf numFmtId="0" fontId="0" fillId="0" borderId="7" xfId="0" applyBorder="1"/>
    <xf numFmtId="9" fontId="0" fillId="0" borderId="7" xfId="0" applyNumberFormat="1" applyBorder="1"/>
    <xf numFmtId="14" fontId="0" fillId="0" borderId="10" xfId="0" applyNumberFormat="1" applyFont="1" applyBorder="1"/>
    <xf numFmtId="14" fontId="0" fillId="0" borderId="12" xfId="0" applyNumberFormat="1" applyFont="1" applyBorder="1"/>
    <xf numFmtId="167" fontId="0" fillId="0" borderId="11" xfId="0" applyNumberFormat="1" applyBorder="1"/>
    <xf numFmtId="167" fontId="0" fillId="0" borderId="13" xfId="0" applyNumberFormat="1" applyBorder="1"/>
    <xf numFmtId="0" fontId="6" fillId="0" borderId="1" xfId="0" applyFont="1" applyBorder="1"/>
    <xf numFmtId="167" fontId="0" fillId="0" borderId="16" xfId="0" applyNumberFormat="1" applyBorder="1"/>
    <xf numFmtId="167" fontId="0" fillId="0" borderId="17" xfId="0" applyNumberFormat="1" applyBorder="1"/>
    <xf numFmtId="167" fontId="0" fillId="0" borderId="18" xfId="0" applyNumberFormat="1" applyBorder="1"/>
    <xf numFmtId="0" fontId="0" fillId="0" borderId="2" xfId="0" applyFill="1" applyBorder="1"/>
    <xf numFmtId="14" fontId="0" fillId="3" borderId="8" xfId="0" applyNumberFormat="1" applyFont="1" applyFill="1" applyBorder="1"/>
    <xf numFmtId="167" fontId="0" fillId="3" borderId="9" xfId="0" applyNumberFormat="1" applyFill="1" applyBorder="1"/>
    <xf numFmtId="0" fontId="0" fillId="0" borderId="2" xfId="0" applyBorder="1" applyAlignment="1">
      <alignment wrapText="1"/>
    </xf>
    <xf numFmtId="0" fontId="0" fillId="3" borderId="2" xfId="0" applyFill="1" applyBorder="1" applyAlignment="1">
      <alignment horizontal="right"/>
    </xf>
    <xf numFmtId="10" fontId="0" fillId="3" borderId="2" xfId="1" applyNumberFormat="1" applyFont="1" applyFill="1" applyBorder="1"/>
    <xf numFmtId="0" fontId="0" fillId="0" borderId="22" xfId="0" applyBorder="1"/>
    <xf numFmtId="2" fontId="0" fillId="0" borderId="2" xfId="0" applyNumberFormat="1" applyFill="1" applyBorder="1"/>
    <xf numFmtId="9" fontId="0" fillId="3" borderId="2" xfId="1" applyFont="1" applyFill="1" applyBorder="1"/>
    <xf numFmtId="0" fontId="0" fillId="0" borderId="6" xfId="0" applyFill="1" applyBorder="1"/>
    <xf numFmtId="10" fontId="0" fillId="0" borderId="6" xfId="1" applyNumberFormat="1" applyFont="1" applyFill="1" applyBorder="1"/>
    <xf numFmtId="9" fontId="0" fillId="0" borderId="6" xfId="1" applyFont="1" applyFill="1" applyBorder="1"/>
    <xf numFmtId="0" fontId="0" fillId="0" borderId="3" xfId="0" applyBorder="1"/>
    <xf numFmtId="0" fontId="0" fillId="0" borderId="2" xfId="0" applyBorder="1" applyAlignment="1">
      <alignment horizontal="center" wrapText="1"/>
    </xf>
    <xf numFmtId="0" fontId="0" fillId="0" borderId="3" xfId="0" applyBorder="1" applyAlignment="1">
      <alignment horizontal="center" wrapText="1"/>
    </xf>
    <xf numFmtId="0" fontId="0" fillId="0" borderId="14" xfId="0" applyBorder="1" applyAlignment="1">
      <alignment horizontal="center"/>
    </xf>
    <xf numFmtId="0" fontId="0" fillId="0" borderId="27" xfId="0" applyBorder="1"/>
    <xf numFmtId="0" fontId="0" fillId="0" borderId="5" xfId="0" applyBorder="1"/>
    <xf numFmtId="167" fontId="6" fillId="0" borderId="1" xfId="0" applyNumberFormat="1" applyFont="1" applyBorder="1"/>
    <xf numFmtId="165" fontId="0" fillId="3" borderId="2" xfId="0" applyNumberFormat="1" applyFill="1" applyBorder="1"/>
    <xf numFmtId="0" fontId="0" fillId="0" borderId="16" xfId="0" applyBorder="1"/>
    <xf numFmtId="0" fontId="0" fillId="0" borderId="17" xfId="0" applyBorder="1"/>
    <xf numFmtId="0" fontId="0" fillId="0" borderId="18" xfId="0" applyBorder="1"/>
    <xf numFmtId="0" fontId="0" fillId="0" borderId="30" xfId="0" applyBorder="1"/>
    <xf numFmtId="166" fontId="0" fillId="3" borderId="2" xfId="1" applyNumberFormat="1" applyFont="1" applyFill="1" applyBorder="1"/>
    <xf numFmtId="14" fontId="0" fillId="3" borderId="2" xfId="0" applyNumberFormat="1" applyFill="1" applyBorder="1"/>
    <xf numFmtId="9" fontId="0" fillId="0" borderId="17" xfId="1" applyFont="1" applyBorder="1"/>
    <xf numFmtId="9" fontId="0" fillId="0" borderId="18" xfId="1" applyFont="1" applyBorder="1"/>
    <xf numFmtId="9" fontId="0" fillId="0" borderId="30" xfId="1" applyFont="1" applyBorder="1"/>
    <xf numFmtId="0" fontId="0" fillId="0" borderId="1" xfId="0" applyBorder="1"/>
    <xf numFmtId="0" fontId="0" fillId="0" borderId="23" xfId="0" applyBorder="1"/>
    <xf numFmtId="0" fontId="0" fillId="0" borderId="31" xfId="0" applyBorder="1"/>
    <xf numFmtId="14" fontId="0" fillId="0" borderId="16" xfId="0" applyNumberFormat="1" applyBorder="1"/>
    <xf numFmtId="14" fontId="0" fillId="0" borderId="18" xfId="0" applyNumberFormat="1" applyBorder="1"/>
    <xf numFmtId="0" fontId="3" fillId="0" borderId="5" xfId="0" applyFont="1" applyBorder="1"/>
    <xf numFmtId="0" fontId="3" fillId="0" borderId="6" xfId="0" applyFont="1" applyBorder="1"/>
    <xf numFmtId="0" fontId="3" fillId="0" borderId="7" xfId="0" applyFont="1" applyBorder="1"/>
    <xf numFmtId="166" fontId="0" fillId="0" borderId="18" xfId="1" quotePrefix="1" applyNumberFormat="1" applyFont="1" applyFill="1" applyBorder="1"/>
    <xf numFmtId="166" fontId="0" fillId="0" borderId="30" xfId="1" quotePrefix="1" applyNumberFormat="1" applyFont="1" applyFill="1" applyBorder="1"/>
    <xf numFmtId="14" fontId="0" fillId="0" borderId="2" xfId="0" applyNumberFormat="1" applyFill="1" applyBorder="1"/>
    <xf numFmtId="0" fontId="0" fillId="0" borderId="2" xfId="0" applyFont="1" applyBorder="1"/>
    <xf numFmtId="0" fontId="11" fillId="4" borderId="32" xfId="0" applyFont="1" applyFill="1" applyBorder="1" applyAlignment="1">
      <alignment horizontal="right" vertical="center" wrapText="1" indent="2"/>
    </xf>
    <xf numFmtId="0" fontId="10" fillId="0" borderId="2" xfId="0" applyFont="1" applyBorder="1" applyAlignment="1">
      <alignment vertical="center"/>
    </xf>
    <xf numFmtId="164" fontId="0" fillId="0" borderId="1" xfId="0" applyNumberFormat="1" applyBorder="1"/>
    <xf numFmtId="0" fontId="4" fillId="5" borderId="3" xfId="0" applyFont="1" applyFill="1" applyBorder="1" applyAlignment="1">
      <alignment horizontal="left" wrapText="1"/>
    </xf>
    <xf numFmtId="0" fontId="4" fillId="5" borderId="4" xfId="0" applyFont="1" applyFill="1" applyBorder="1" applyAlignment="1">
      <alignment horizontal="left" wrapText="1"/>
    </xf>
    <xf numFmtId="0" fontId="4" fillId="5" borderId="5" xfId="0" applyFont="1" applyFill="1" applyBorder="1" applyAlignment="1">
      <alignment horizontal="left" wrapText="1"/>
    </xf>
    <xf numFmtId="0" fontId="3" fillId="5" borderId="3" xfId="0" applyFont="1" applyFill="1" applyBorder="1"/>
    <xf numFmtId="0" fontId="3" fillId="5" borderId="4" xfId="0" applyFont="1" applyFill="1" applyBorder="1"/>
    <xf numFmtId="0" fontId="13" fillId="5" borderId="2" xfId="0" applyFont="1" applyFill="1" applyBorder="1"/>
    <xf numFmtId="0" fontId="13" fillId="0" borderId="2" xfId="0" applyFont="1" applyBorder="1"/>
    <xf numFmtId="0" fontId="0" fillId="2" borderId="2" xfId="0" applyFont="1" applyFill="1" applyBorder="1" applyAlignment="1">
      <alignment horizontal="left"/>
    </xf>
    <xf numFmtId="0" fontId="9" fillId="0" borderId="2" xfId="0" applyFont="1" applyBorder="1" applyAlignment="1">
      <alignment vertical="center" wrapText="1"/>
    </xf>
    <xf numFmtId="0" fontId="0" fillId="0" borderId="2" xfId="0" applyBorder="1" applyAlignment="1">
      <alignment horizontal="left" wrapText="1"/>
    </xf>
    <xf numFmtId="2" fontId="0" fillId="0" borderId="2" xfId="0" applyNumberFormat="1" applyBorder="1"/>
    <xf numFmtId="0" fontId="9" fillId="5" borderId="0" xfId="0" applyFont="1" applyFill="1" applyBorder="1" applyAlignment="1">
      <alignment horizontal="left" vertical="center" wrapText="1"/>
    </xf>
    <xf numFmtId="0" fontId="11" fillId="4" borderId="32" xfId="0" applyFont="1" applyFill="1" applyBorder="1" applyAlignment="1">
      <alignment vertical="center" wrapText="1"/>
    </xf>
    <xf numFmtId="0" fontId="14" fillId="4" borderId="32" xfId="0" applyFont="1" applyFill="1" applyBorder="1" applyAlignment="1">
      <alignment horizontal="center" vertical="center" wrapText="1"/>
    </xf>
    <xf numFmtId="0" fontId="15" fillId="5" borderId="32" xfId="0" applyFont="1" applyFill="1" applyBorder="1" applyAlignment="1">
      <alignment vertical="center" wrapText="1"/>
    </xf>
    <xf numFmtId="0" fontId="15" fillId="5" borderId="0" xfId="0" applyFont="1" applyFill="1" applyAlignment="1">
      <alignment vertical="center" wrapText="1"/>
    </xf>
    <xf numFmtId="0" fontId="15" fillId="5" borderId="33" xfId="0" applyFont="1" applyFill="1" applyBorder="1" applyAlignment="1">
      <alignment vertical="center" wrapText="1"/>
    </xf>
    <xf numFmtId="164" fontId="11" fillId="4" borderId="32" xfId="0" applyNumberFormat="1" applyFont="1" applyFill="1" applyBorder="1" applyAlignment="1">
      <alignment vertical="center" wrapText="1"/>
    </xf>
    <xf numFmtId="0" fontId="0" fillId="0" borderId="5" xfId="0" applyFont="1" applyBorder="1"/>
    <xf numFmtId="0" fontId="10" fillId="0" borderId="7" xfId="0" applyFont="1" applyBorder="1" applyAlignment="1">
      <alignment vertical="center"/>
    </xf>
    <xf numFmtId="0" fontId="0" fillId="0" borderId="7" xfId="0" applyFont="1" applyBorder="1"/>
    <xf numFmtId="0" fontId="0" fillId="0" borderId="7" xfId="0" applyFill="1" applyBorder="1"/>
    <xf numFmtId="0" fontId="9" fillId="5" borderId="25" xfId="0" applyFont="1" applyFill="1" applyBorder="1" applyAlignment="1">
      <alignment horizontal="left" vertical="center" wrapText="1"/>
    </xf>
    <xf numFmtId="0" fontId="0" fillId="5" borderId="34" xfId="0" applyFont="1" applyFill="1" applyBorder="1" applyAlignment="1">
      <alignment vertical="center" wrapText="1"/>
    </xf>
    <xf numFmtId="167" fontId="0" fillId="0" borderId="35" xfId="0" applyNumberFormat="1" applyBorder="1" applyAlignment="1">
      <alignment vertical="center"/>
    </xf>
    <xf numFmtId="0" fontId="0" fillId="5" borderId="36" xfId="0" applyFont="1" applyFill="1" applyBorder="1" applyAlignment="1">
      <alignment vertical="center" wrapText="1"/>
    </xf>
    <xf numFmtId="167" fontId="0" fillId="5" borderId="37" xfId="0" applyNumberFormat="1" applyFill="1" applyBorder="1" applyAlignment="1">
      <alignment vertical="center"/>
    </xf>
    <xf numFmtId="0" fontId="0" fillId="5" borderId="39" xfId="0" applyFont="1" applyFill="1" applyBorder="1" applyAlignment="1">
      <alignment vertical="center"/>
    </xf>
    <xf numFmtId="166" fontId="0" fillId="5" borderId="40" xfId="1" applyNumberFormat="1" applyFont="1" applyFill="1" applyBorder="1" applyAlignment="1">
      <alignment vertical="center"/>
    </xf>
    <xf numFmtId="0" fontId="0" fillId="5" borderId="41" xfId="0" applyFont="1" applyFill="1" applyBorder="1" applyAlignment="1">
      <alignment vertical="center" wrapText="1"/>
    </xf>
    <xf numFmtId="166" fontId="0" fillId="5" borderId="41" xfId="1" applyNumberFormat="1" applyFont="1" applyFill="1" applyBorder="1" applyAlignment="1">
      <alignment vertical="center"/>
    </xf>
    <xf numFmtId="166" fontId="0" fillId="5" borderId="38" xfId="1" applyNumberFormat="1" applyFont="1" applyFill="1" applyBorder="1" applyAlignment="1">
      <alignment vertical="center"/>
    </xf>
    <xf numFmtId="0" fontId="0" fillId="5" borderId="42" xfId="0" applyFont="1" applyFill="1" applyBorder="1" applyAlignment="1">
      <alignment vertical="center" wrapText="1"/>
    </xf>
    <xf numFmtId="167" fontId="0" fillId="5" borderId="43" xfId="0" applyNumberFormat="1" applyFill="1" applyBorder="1" applyAlignment="1">
      <alignment vertical="center"/>
    </xf>
    <xf numFmtId="0" fontId="0" fillId="5" borderId="44" xfId="0" applyFont="1" applyFill="1" applyBorder="1" applyAlignment="1">
      <alignment vertical="center" wrapText="1"/>
    </xf>
    <xf numFmtId="0" fontId="0" fillId="3" borderId="2" xfId="0" applyFill="1" applyBorder="1"/>
    <xf numFmtId="0" fontId="0" fillId="0" borderId="0" xfId="0" applyFill="1" applyBorder="1"/>
    <xf numFmtId="10" fontId="17" fillId="0" borderId="0" xfId="1" applyNumberFormat="1" applyFont="1" applyFill="1" applyBorder="1"/>
    <xf numFmtId="0" fontId="16" fillId="0" borderId="0" xfId="2" applyFill="1" applyBorder="1"/>
    <xf numFmtId="0" fontId="2" fillId="0" borderId="0" xfId="3" applyFill="1" applyBorder="1"/>
    <xf numFmtId="14" fontId="0" fillId="0" borderId="0" xfId="0" applyNumberFormat="1" applyFill="1" applyBorder="1"/>
    <xf numFmtId="10" fontId="0" fillId="0" borderId="0" xfId="1" applyNumberFormat="1" applyFont="1" applyFill="1" applyBorder="1"/>
    <xf numFmtId="0" fontId="6" fillId="0" borderId="0" xfId="0" applyFont="1" applyFill="1" applyBorder="1" applyAlignment="1">
      <alignment wrapText="1"/>
    </xf>
    <xf numFmtId="0" fontId="0" fillId="0" borderId="0" xfId="0" applyFill="1" applyBorder="1" applyAlignment="1">
      <alignment wrapText="1"/>
    </xf>
    <xf numFmtId="0" fontId="0" fillId="0" borderId="3" xfId="0" applyFont="1" applyBorder="1" applyAlignment="1">
      <alignment vertical="center" wrapText="1"/>
    </xf>
    <xf numFmtId="0" fontId="7" fillId="0" borderId="3" xfId="0" applyFont="1" applyBorder="1" applyAlignment="1">
      <alignment vertical="center" wrapText="1"/>
    </xf>
    <xf numFmtId="0" fontId="6" fillId="0" borderId="2" xfId="0" applyFont="1" applyBorder="1" applyAlignment="1">
      <alignment wrapText="1"/>
    </xf>
    <xf numFmtId="0" fontId="0" fillId="0" borderId="2" xfId="0" quotePrefix="1" applyBorder="1" applyAlignment="1">
      <alignment wrapText="1"/>
    </xf>
    <xf numFmtId="0" fontId="0" fillId="0" borderId="24" xfId="0" applyBorder="1" applyAlignment="1">
      <alignment wrapText="1"/>
    </xf>
    <xf numFmtId="0" fontId="6" fillId="0" borderId="2" xfId="0" quotePrefix="1" applyFont="1" applyBorder="1" applyAlignment="1">
      <alignment wrapText="1"/>
    </xf>
    <xf numFmtId="0" fontId="19" fillId="0" borderId="2" xfId="0" applyFont="1" applyBorder="1"/>
    <xf numFmtId="0" fontId="20" fillId="0" borderId="2" xfId="0" applyFont="1" applyBorder="1"/>
    <xf numFmtId="166" fontId="20" fillId="0" borderId="2" xfId="1" applyNumberFormat="1" applyFont="1" applyFill="1" applyBorder="1"/>
    <xf numFmtId="0" fontId="0" fillId="6" borderId="2" xfId="0" applyFont="1" applyFill="1" applyBorder="1" applyAlignment="1"/>
    <xf numFmtId="0" fontId="3" fillId="0" borderId="2" xfId="0" applyFont="1" applyBorder="1" applyAlignment="1"/>
    <xf numFmtId="0" fontId="8" fillId="0" borderId="3" xfId="0" applyFont="1" applyBorder="1" applyAlignment="1">
      <alignment vertical="center" wrapText="1"/>
    </xf>
    <xf numFmtId="164" fontId="11" fillId="4" borderId="32" xfId="0" applyNumberFormat="1" applyFont="1" applyFill="1" applyBorder="1" applyAlignment="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5"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3" xfId="0" applyFont="1" applyFill="1" applyBorder="1" applyAlignment="1">
      <alignment horizontal="left" vertical="center"/>
    </xf>
    <xf numFmtId="0" fontId="21" fillId="5" borderId="3" xfId="0" quotePrefix="1" applyFont="1" applyFill="1" applyBorder="1" applyAlignment="1">
      <alignment horizontal="left" wrapText="1"/>
    </xf>
    <xf numFmtId="0" fontId="21" fillId="5" borderId="4" xfId="0" quotePrefix="1" applyFont="1" applyFill="1" applyBorder="1" applyAlignment="1">
      <alignment horizontal="left" wrapText="1"/>
    </xf>
    <xf numFmtId="0" fontId="21" fillId="5" borderId="5" xfId="0" quotePrefix="1" applyFont="1" applyFill="1" applyBorder="1" applyAlignment="1">
      <alignment horizontal="left" wrapText="1"/>
    </xf>
    <xf numFmtId="0" fontId="22" fillId="0" borderId="2" xfId="0" applyFont="1" applyBorder="1" applyAlignment="1">
      <alignment vertical="center" wrapText="1"/>
    </xf>
    <xf numFmtId="14" fontId="0" fillId="2" borderId="2" xfId="0" applyNumberFormat="1" applyFont="1" applyFill="1" applyBorder="1" applyAlignment="1" applyProtection="1">
      <alignment horizontal="right"/>
      <protection locked="0"/>
    </xf>
    <xf numFmtId="9" fontId="3" fillId="2" borderId="2" xfId="1" applyFont="1" applyFill="1" applyBorder="1" applyProtection="1">
      <protection locked="0"/>
    </xf>
    <xf numFmtId="165" fontId="3" fillId="2" borderId="2" xfId="0" applyNumberFormat="1" applyFont="1" applyFill="1" applyBorder="1" applyProtection="1">
      <protection locked="0"/>
    </xf>
    <xf numFmtId="166" fontId="0" fillId="6" borderId="2" xfId="1" applyNumberFormat="1" applyFont="1" applyFill="1" applyBorder="1" applyProtection="1">
      <protection locked="0"/>
    </xf>
    <xf numFmtId="0" fontId="17" fillId="0" borderId="3" xfId="0" applyFont="1" applyBorder="1" applyAlignment="1">
      <alignment vertical="center" wrapText="1"/>
    </xf>
    <xf numFmtId="167" fontId="0" fillId="5" borderId="44" xfId="0" applyNumberFormat="1" applyFill="1" applyBorder="1" applyAlignment="1">
      <alignment vertical="center"/>
    </xf>
    <xf numFmtId="14" fontId="0" fillId="0" borderId="0" xfId="0" applyNumberFormat="1"/>
    <xf numFmtId="0" fontId="6" fillId="0" borderId="0" xfId="0" applyFont="1"/>
    <xf numFmtId="17" fontId="0" fillId="0" borderId="0" xfId="0" applyNumberFormat="1"/>
    <xf numFmtId="167" fontId="0" fillId="3" borderId="49" xfId="0" applyNumberFormat="1" applyFill="1" applyBorder="1"/>
    <xf numFmtId="167" fontId="0" fillId="0" borderId="3" xfId="0" applyNumberFormat="1" applyBorder="1"/>
    <xf numFmtId="167" fontId="0" fillId="0" borderId="50" xfId="0" applyNumberFormat="1" applyBorder="1"/>
    <xf numFmtId="168" fontId="0" fillId="3" borderId="51" xfId="0" applyNumberFormat="1" applyFill="1" applyBorder="1"/>
    <xf numFmtId="168" fontId="0" fillId="0" borderId="52" xfId="0" applyNumberFormat="1" applyBorder="1"/>
    <xf numFmtId="0" fontId="6" fillId="0" borderId="31" xfId="0" applyFont="1" applyBorder="1"/>
    <xf numFmtId="0" fontId="23" fillId="3" borderId="6" xfId="0" applyFont="1" applyFill="1" applyBorder="1"/>
    <xf numFmtId="14" fontId="23" fillId="3" borderId="6" xfId="0" applyNumberFormat="1" applyFont="1" applyFill="1" applyBorder="1"/>
    <xf numFmtId="0" fontId="23" fillId="0" borderId="1" xfId="0" applyFont="1" applyBorder="1"/>
    <xf numFmtId="14" fontId="23" fillId="0" borderId="18" xfId="0" applyNumberFormat="1" applyFont="1" applyBorder="1"/>
    <xf numFmtId="0" fontId="11" fillId="4" borderId="32" xfId="0" applyFont="1" applyFill="1" applyBorder="1" applyAlignment="1">
      <alignment horizontal="left" vertical="center" wrapText="1" indent="2"/>
    </xf>
    <xf numFmtId="2" fontId="15" fillId="5" borderId="32" xfId="0" applyNumberFormat="1" applyFont="1" applyFill="1" applyBorder="1" applyAlignment="1">
      <alignment horizontal="center" vertical="center" wrapText="1"/>
    </xf>
    <xf numFmtId="2" fontId="15" fillId="5" borderId="0" xfId="0" applyNumberFormat="1" applyFont="1" applyFill="1" applyAlignment="1">
      <alignment horizontal="center" vertical="center" wrapText="1"/>
    </xf>
    <xf numFmtId="2" fontId="15" fillId="5" borderId="33" xfId="0" applyNumberFormat="1" applyFont="1" applyFill="1" applyBorder="1" applyAlignment="1">
      <alignment horizontal="center" vertical="center" wrapText="1"/>
    </xf>
    <xf numFmtId="0" fontId="26" fillId="0" borderId="6" xfId="0" applyFont="1" applyBorder="1"/>
    <xf numFmtId="14" fontId="26" fillId="0" borderId="6" xfId="0" applyNumberFormat="1" applyFont="1" applyBorder="1"/>
    <xf numFmtId="0" fontId="17" fillId="0" borderId="2" xfId="0" applyFont="1" applyBorder="1"/>
    <xf numFmtId="0" fontId="17" fillId="0" borderId="6" xfId="0" applyFont="1" applyBorder="1"/>
    <xf numFmtId="14" fontId="17" fillId="3" borderId="6" xfId="0" applyNumberFormat="1" applyFont="1" applyFill="1" applyBorder="1"/>
    <xf numFmtId="165" fontId="17" fillId="3" borderId="2" xfId="0" applyNumberFormat="1" applyFont="1" applyFill="1" applyBorder="1"/>
    <xf numFmtId="10" fontId="17" fillId="3" borderId="2" xfId="1" applyNumberFormat="1" applyFont="1" applyFill="1" applyBorder="1"/>
    <xf numFmtId="0" fontId="17" fillId="0" borderId="6" xfId="0" applyFont="1" applyFill="1" applyBorder="1"/>
    <xf numFmtId="0" fontId="17" fillId="0" borderId="7" xfId="0" applyFont="1" applyBorder="1"/>
    <xf numFmtId="14" fontId="17" fillId="0" borderId="2" xfId="0" applyNumberFormat="1" applyFont="1" applyBorder="1"/>
    <xf numFmtId="0" fontId="17" fillId="0" borderId="1" xfId="0" applyFont="1" applyBorder="1"/>
    <xf numFmtId="14" fontId="17" fillId="0" borderId="16" xfId="0" applyNumberFormat="1" applyFont="1" applyBorder="1"/>
    <xf numFmtId="14" fontId="17" fillId="0" borderId="18" xfId="0" applyNumberFormat="1" applyFont="1" applyBorder="1"/>
    <xf numFmtId="0" fontId="23" fillId="0" borderId="6" xfId="0" applyFont="1" applyBorder="1"/>
    <xf numFmtId="0" fontId="23" fillId="0" borderId="2" xfId="0" applyFont="1" applyBorder="1"/>
    <xf numFmtId="0" fontId="13" fillId="5" borderId="27" xfId="0" applyFont="1" applyFill="1" applyBorder="1" applyAlignment="1"/>
    <xf numFmtId="0" fontId="13" fillId="5" borderId="28" xfId="0" applyFont="1" applyFill="1" applyBorder="1" applyAlignment="1"/>
    <xf numFmtId="0" fontId="13" fillId="5" borderId="29" xfId="0" applyFont="1" applyFill="1" applyBorder="1" applyAlignment="1"/>
    <xf numFmtId="167" fontId="17" fillId="3" borderId="9" xfId="0" applyNumberFormat="1" applyFont="1" applyFill="1" applyBorder="1"/>
    <xf numFmtId="167" fontId="17" fillId="0" borderId="11" xfId="0" applyNumberFormat="1" applyFont="1" applyBorder="1"/>
    <xf numFmtId="167" fontId="17" fillId="0" borderId="13" xfId="0" applyNumberFormat="1" applyFont="1" applyBorder="1"/>
    <xf numFmtId="14" fontId="23" fillId="3" borderId="8" xfId="0" applyNumberFormat="1" applyFont="1" applyFill="1" applyBorder="1"/>
    <xf numFmtId="14" fontId="23" fillId="0" borderId="10" xfId="0" applyNumberFormat="1" applyFont="1" applyBorder="1"/>
    <xf numFmtId="0" fontId="0" fillId="5" borderId="0" xfId="0" applyFill="1"/>
    <xf numFmtId="0" fontId="17" fillId="0" borderId="14" xfId="0" applyFont="1" applyBorder="1" applyAlignment="1">
      <alignment horizontal="center"/>
    </xf>
    <xf numFmtId="0" fontId="17" fillId="0" borderId="24" xfId="0" applyFont="1" applyBorder="1" applyAlignment="1">
      <alignment horizontal="center" wrapText="1"/>
    </xf>
    <xf numFmtId="14" fontId="17" fillId="0" borderId="5" xfId="0" applyNumberFormat="1" applyFont="1" applyBorder="1"/>
    <xf numFmtId="14" fontId="17" fillId="0" borderId="48" xfId="0" applyNumberFormat="1" applyFont="1" applyBorder="1"/>
    <xf numFmtId="14" fontId="17" fillId="3" borderId="47" xfId="0" applyNumberFormat="1" applyFont="1" applyFill="1" applyBorder="1"/>
    <xf numFmtId="167" fontId="23" fillId="5" borderId="31" xfId="0" applyNumberFormat="1" applyFont="1" applyFill="1" applyBorder="1"/>
    <xf numFmtId="0" fontId="17" fillId="0" borderId="29" xfId="0" applyFont="1" applyBorder="1"/>
    <xf numFmtId="167" fontId="23" fillId="5" borderId="55" xfId="0" applyNumberFormat="1" applyFont="1" applyFill="1" applyBorder="1"/>
    <xf numFmtId="167" fontId="23" fillId="5" borderId="54" xfId="0" applyNumberFormat="1" applyFont="1" applyFill="1" applyBorder="1"/>
    <xf numFmtId="0" fontId="0" fillId="5" borderId="0" xfId="0" applyFill="1" applyBorder="1"/>
    <xf numFmtId="10" fontId="0" fillId="5" borderId="0" xfId="1" applyNumberFormat="1" applyFont="1" applyFill="1" applyBorder="1"/>
    <xf numFmtId="0" fontId="0" fillId="5" borderId="46" xfId="0" applyFill="1" applyBorder="1"/>
    <xf numFmtId="9" fontId="0" fillId="5" borderId="45" xfId="1" applyFont="1" applyFill="1" applyBorder="1"/>
    <xf numFmtId="0" fontId="0" fillId="5" borderId="6" xfId="0" applyFill="1" applyBorder="1"/>
    <xf numFmtId="0" fontId="0" fillId="5" borderId="2" xfId="0" applyFill="1" applyBorder="1"/>
    <xf numFmtId="14" fontId="0" fillId="5" borderId="6" xfId="0" applyNumberFormat="1" applyFill="1" applyBorder="1"/>
    <xf numFmtId="165" fontId="0" fillId="5" borderId="2" xfId="0" applyNumberFormat="1" applyFill="1" applyBorder="1"/>
    <xf numFmtId="10" fontId="0" fillId="5" borderId="2" xfId="1" applyNumberFormat="1" applyFont="1" applyFill="1" applyBorder="1"/>
    <xf numFmtId="14" fontId="0" fillId="3" borderId="56" xfId="0" applyNumberFormat="1" applyFont="1" applyFill="1" applyBorder="1"/>
    <xf numFmtId="167" fontId="0" fillId="3" borderId="58" xfId="0" applyNumberFormat="1" applyFill="1" applyBorder="1"/>
    <xf numFmtId="0" fontId="0" fillId="0" borderId="15" xfId="0" applyBorder="1" applyAlignment="1">
      <alignment horizontal="center" wrapText="1"/>
    </xf>
    <xf numFmtId="0" fontId="23" fillId="5" borderId="0" xfId="0" applyFont="1" applyFill="1"/>
    <xf numFmtId="14" fontId="23" fillId="0" borderId="0" xfId="0" applyNumberFormat="1" applyFont="1"/>
    <xf numFmtId="0" fontId="23" fillId="0" borderId="6" xfId="0" applyFont="1" applyFill="1" applyBorder="1"/>
    <xf numFmtId="14" fontId="23" fillId="0" borderId="6" xfId="0" applyNumberFormat="1" applyFont="1" applyFill="1" applyBorder="1"/>
    <xf numFmtId="0" fontId="23" fillId="0" borderId="14" xfId="0" applyFont="1" applyBorder="1" applyAlignment="1">
      <alignment horizontal="center"/>
    </xf>
    <xf numFmtId="0" fontId="23" fillId="0" borderId="57" xfId="0" applyFont="1" applyBorder="1" applyAlignment="1">
      <alignment horizontal="center" wrapText="1"/>
    </xf>
    <xf numFmtId="0" fontId="23" fillId="0" borderId="15" xfId="0" applyFont="1" applyBorder="1" applyAlignment="1">
      <alignment vertical="center" wrapText="1"/>
    </xf>
    <xf numFmtId="0" fontId="6" fillId="0" borderId="54" xfId="0" applyFont="1" applyBorder="1"/>
    <xf numFmtId="168" fontId="0" fillId="0" borderId="53" xfId="0" applyNumberFormat="1" applyBorder="1"/>
    <xf numFmtId="0" fontId="0" fillId="5" borderId="7" xfId="0" applyFill="1" applyBorder="1"/>
    <xf numFmtId="14" fontId="6" fillId="5" borderId="6" xfId="0" applyNumberFormat="1" applyFont="1" applyFill="1" applyBorder="1"/>
    <xf numFmtId="14" fontId="0" fillId="5" borderId="0" xfId="0" applyNumberFormat="1" applyFill="1" applyBorder="1"/>
    <xf numFmtId="0" fontId="0" fillId="0" borderId="26" xfId="0" applyBorder="1" applyAlignment="1">
      <alignment horizontal="center"/>
    </xf>
    <xf numFmtId="0" fontId="0" fillId="0" borderId="24" xfId="0" applyBorder="1" applyAlignment="1">
      <alignment horizontal="center" wrapText="1"/>
    </xf>
    <xf numFmtId="0" fontId="27" fillId="0" borderId="0" xfId="6"/>
    <xf numFmtId="166" fontId="0" fillId="0" borderId="0" xfId="1" applyNumberFormat="1" applyFont="1" applyFill="1" applyBorder="1"/>
    <xf numFmtId="10" fontId="0" fillId="0" borderId="0" xfId="0" applyNumberFormat="1" applyFill="1" applyBorder="1"/>
    <xf numFmtId="10" fontId="0" fillId="7" borderId="0" xfId="0" applyNumberFormat="1" applyFill="1" applyBorder="1"/>
    <xf numFmtId="0" fontId="23" fillId="0" borderId="0" xfId="0" applyFont="1" applyFill="1" applyBorder="1"/>
    <xf numFmtId="14" fontId="23" fillId="0" borderId="12" xfId="0" applyNumberFormat="1" applyFont="1" applyBorder="1"/>
    <xf numFmtId="14" fontId="17" fillId="0" borderId="6" xfId="0" applyNumberFormat="1" applyFont="1" applyFill="1" applyBorder="1"/>
    <xf numFmtId="165" fontId="17" fillId="0" borderId="2" xfId="0" applyNumberFormat="1" applyFont="1" applyFill="1" applyBorder="1"/>
    <xf numFmtId="10" fontId="17" fillId="0" borderId="2" xfId="1" applyNumberFormat="1" applyFont="1" applyFill="1" applyBorder="1"/>
    <xf numFmtId="0" fontId="0" fillId="5" borderId="29" xfId="0" applyFill="1" applyBorder="1"/>
    <xf numFmtId="0" fontId="0" fillId="5" borderId="5" xfId="0" applyFill="1" applyBorder="1"/>
    <xf numFmtId="0" fontId="6" fillId="5" borderId="1" xfId="0" applyFont="1" applyFill="1" applyBorder="1"/>
    <xf numFmtId="0" fontId="23" fillId="0" borderId="60" xfId="0" applyFont="1" applyBorder="1" applyAlignment="1">
      <alignment horizontal="center" wrapText="1"/>
    </xf>
    <xf numFmtId="169" fontId="23" fillId="5" borderId="61" xfId="7" applyNumberFormat="1" applyFont="1" applyFill="1" applyBorder="1"/>
    <xf numFmtId="167" fontId="23" fillId="5" borderId="59" xfId="0" applyNumberFormat="1" applyFont="1" applyFill="1" applyBorder="1"/>
    <xf numFmtId="169" fontId="23" fillId="5" borderId="23" xfId="7" applyNumberFormat="1" applyFont="1" applyFill="1" applyBorder="1"/>
    <xf numFmtId="167" fontId="23" fillId="5" borderId="62" xfId="0" applyNumberFormat="1" applyFont="1" applyFill="1" applyBorder="1"/>
    <xf numFmtId="169" fontId="23" fillId="5" borderId="63" xfId="7" applyNumberFormat="1" applyFont="1" applyFill="1" applyBorder="1"/>
    <xf numFmtId="167" fontId="23" fillId="5" borderId="64" xfId="0" applyNumberFormat="1" applyFont="1" applyFill="1" applyBorder="1"/>
    <xf numFmtId="167" fontId="23" fillId="3" borderId="65" xfId="0" applyNumberFormat="1" applyFont="1" applyFill="1" applyBorder="1"/>
    <xf numFmtId="167" fontId="23" fillId="5" borderId="23" xfId="0" applyNumberFormat="1" applyFont="1" applyFill="1" applyBorder="1"/>
    <xf numFmtId="167" fontId="23" fillId="5" borderId="63" xfId="0" applyNumberFormat="1" applyFont="1" applyFill="1" applyBorder="1"/>
    <xf numFmtId="0" fontId="17" fillId="0" borderId="2" xfId="0" applyFont="1" applyFill="1" applyBorder="1"/>
    <xf numFmtId="14" fontId="0" fillId="3" borderId="8" xfId="0" applyNumberFormat="1" applyFill="1" applyBorder="1"/>
    <xf numFmtId="167" fontId="0" fillId="3" borderId="65" xfId="0" applyNumberFormat="1" applyFill="1" applyBorder="1"/>
    <xf numFmtId="14" fontId="0" fillId="0" borderId="10" xfId="0" applyNumberFormat="1" applyBorder="1"/>
    <xf numFmtId="167" fontId="0" fillId="0" borderId="2" xfId="0" applyNumberFormat="1" applyBorder="1"/>
    <xf numFmtId="14" fontId="0" fillId="0" borderId="12" xfId="0" applyNumberFormat="1" applyBorder="1"/>
    <xf numFmtId="167" fontId="0" fillId="0" borderId="22" xfId="0" applyNumberFormat="1" applyBorder="1"/>
    <xf numFmtId="10" fontId="0" fillId="0" borderId="2" xfId="1" applyNumberFormat="1" applyFont="1" applyFill="1" applyBorder="1"/>
    <xf numFmtId="0" fontId="0" fillId="0" borderId="26" xfId="0" applyBorder="1"/>
    <xf numFmtId="14" fontId="17" fillId="0" borderId="2" xfId="0" applyNumberFormat="1" applyFont="1" applyFill="1" applyBorder="1"/>
    <xf numFmtId="14" fontId="23" fillId="0" borderId="2" xfId="0" applyNumberFormat="1" applyFont="1" applyFill="1" applyBorder="1"/>
    <xf numFmtId="0" fontId="23" fillId="0" borderId="2" xfId="0" applyFont="1" applyFill="1" applyBorder="1"/>
    <xf numFmtId="0" fontId="17" fillId="0" borderId="2" xfId="0" applyFont="1" applyBorder="1" applyAlignment="1">
      <alignment wrapText="1"/>
    </xf>
    <xf numFmtId="0" fontId="13" fillId="5" borderId="24" xfId="0" applyFont="1" applyFill="1" applyBorder="1" applyAlignment="1">
      <alignment wrapText="1"/>
    </xf>
    <xf numFmtId="0" fontId="13" fillId="5" borderId="25" xfId="0" applyFont="1" applyFill="1" applyBorder="1" applyAlignment="1">
      <alignment wrapText="1"/>
    </xf>
    <xf numFmtId="0" fontId="13" fillId="5" borderId="26" xfId="0" applyFont="1" applyFill="1" applyBorder="1" applyAlignment="1">
      <alignment wrapText="1"/>
    </xf>
    <xf numFmtId="0" fontId="13" fillId="5" borderId="27" xfId="0" applyFont="1" applyFill="1" applyBorder="1" applyAlignment="1">
      <alignment wrapText="1"/>
    </xf>
    <xf numFmtId="0" fontId="13" fillId="5" borderId="28" xfId="0" applyFont="1" applyFill="1" applyBorder="1" applyAlignment="1">
      <alignment wrapText="1"/>
    </xf>
    <xf numFmtId="0" fontId="13" fillId="5" borderId="29" xfId="0" applyFont="1" applyFill="1" applyBorder="1" applyAlignment="1">
      <alignment wrapText="1"/>
    </xf>
    <xf numFmtId="164" fontId="3" fillId="5" borderId="2" xfId="0" applyNumberFormat="1" applyFont="1" applyFill="1" applyBorder="1" applyAlignment="1">
      <alignment horizontal="left"/>
    </xf>
    <xf numFmtId="14" fontId="23" fillId="0" borderId="16" xfId="0" applyNumberFormat="1" applyFont="1" applyFill="1" applyBorder="1"/>
    <xf numFmtId="0" fontId="17" fillId="0" borderId="2" xfId="0" quotePrefix="1" applyFont="1" applyBorder="1" applyAlignment="1">
      <alignment wrapText="1"/>
    </xf>
    <xf numFmtId="2" fontId="15" fillId="0" borderId="0" xfId="0" applyNumberFormat="1" applyFont="1" applyFill="1" applyAlignment="1">
      <alignment horizontal="center" vertical="center" wrapText="1"/>
    </xf>
    <xf numFmtId="14" fontId="0" fillId="0" borderId="0" xfId="0" applyNumberFormat="1" applyFill="1" applyBorder="1"/>
    <xf numFmtId="166" fontId="0" fillId="0" borderId="0" xfId="1" applyNumberFormat="1" applyFont="1" applyFill="1" applyBorder="1"/>
    <xf numFmtId="10" fontId="0" fillId="0" borderId="0" xfId="0" applyNumberFormat="1" applyFill="1" applyBorder="1"/>
    <xf numFmtId="0" fontId="6" fillId="0" borderId="3" xfId="0" applyFont="1" applyBorder="1" applyAlignment="1">
      <alignment vertical="center" wrapText="1"/>
    </xf>
    <xf numFmtId="166" fontId="30" fillId="0" borderId="0" xfId="1" applyNumberFormat="1" applyFont="1" applyFill="1" applyBorder="1"/>
    <xf numFmtId="0" fontId="30" fillId="0" borderId="0" xfId="0" applyFont="1" applyFill="1" applyBorder="1"/>
    <xf numFmtId="166" fontId="31" fillId="0" borderId="0" xfId="1" applyNumberFormat="1" applyFont="1" applyFill="1" applyBorder="1"/>
    <xf numFmtId="0" fontId="31" fillId="0" borderId="0" xfId="0" applyFont="1" applyFill="1" applyBorder="1"/>
    <xf numFmtId="0" fontId="13" fillId="0" borderId="24" xfId="0" applyFont="1" applyBorder="1" applyAlignment="1">
      <alignment horizontal="left" wrapText="1"/>
    </xf>
    <xf numFmtId="0" fontId="13" fillId="0" borderId="25" xfId="0" applyFont="1" applyBorder="1" applyAlignment="1">
      <alignment horizontal="left" wrapText="1"/>
    </xf>
    <xf numFmtId="0" fontId="13" fillId="0" borderId="26" xfId="0" applyFont="1" applyBorder="1" applyAlignment="1">
      <alignment horizontal="left" wrapText="1"/>
    </xf>
    <xf numFmtId="0" fontId="13" fillId="0" borderId="27" xfId="0" applyFont="1" applyBorder="1" applyAlignment="1">
      <alignment horizontal="left" wrapText="1"/>
    </xf>
    <xf numFmtId="0" fontId="13" fillId="0" borderId="28" xfId="0" applyFont="1" applyBorder="1" applyAlignment="1">
      <alignment horizontal="left" wrapText="1"/>
    </xf>
    <xf numFmtId="0" fontId="13" fillId="0" borderId="29"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17" fillId="0" borderId="25" xfId="0" applyFont="1" applyBorder="1" applyAlignment="1">
      <alignment horizontal="left" wrapText="1"/>
    </xf>
    <xf numFmtId="0" fontId="17" fillId="0" borderId="26" xfId="0" applyFont="1" applyBorder="1" applyAlignment="1">
      <alignment horizontal="left" wrapText="1"/>
    </xf>
    <xf numFmtId="0" fontId="17" fillId="0" borderId="28" xfId="0" applyFont="1" applyBorder="1" applyAlignment="1">
      <alignment horizontal="left" wrapText="1"/>
    </xf>
    <xf numFmtId="0" fontId="17" fillId="0" borderId="29" xfId="0" applyFont="1" applyBorder="1" applyAlignment="1">
      <alignment horizontal="left" wrapText="1"/>
    </xf>
    <xf numFmtId="0" fontId="17" fillId="0" borderId="24" xfId="0" applyFont="1" applyBorder="1" applyAlignment="1">
      <alignment horizontal="left" vertical="top" wrapText="1"/>
    </xf>
    <xf numFmtId="0" fontId="17" fillId="0" borderId="25" xfId="0" applyFont="1" applyBorder="1" applyAlignment="1">
      <alignment horizontal="left" vertical="top" wrapText="1"/>
    </xf>
    <xf numFmtId="0" fontId="17" fillId="0" borderId="26" xfId="0" applyFont="1" applyBorder="1" applyAlignment="1">
      <alignment horizontal="left" vertical="top" wrapText="1"/>
    </xf>
    <xf numFmtId="0" fontId="17" fillId="0" borderId="45" xfId="0" applyFont="1" applyBorder="1" applyAlignment="1">
      <alignment horizontal="left" vertical="top" wrapText="1"/>
    </xf>
    <xf numFmtId="0" fontId="17" fillId="0" borderId="0" xfId="0" applyFont="1" applyBorder="1" applyAlignment="1">
      <alignment horizontal="left" vertical="top" wrapText="1"/>
    </xf>
    <xf numFmtId="0" fontId="17" fillId="0" borderId="46" xfId="0" applyFont="1" applyBorder="1"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29"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13" fillId="5" borderId="24" xfId="0" applyFont="1" applyFill="1" applyBorder="1" applyAlignment="1">
      <alignment horizontal="left" wrapText="1"/>
    </xf>
    <xf numFmtId="0" fontId="13" fillId="5" borderId="25" xfId="0" applyFont="1" applyFill="1" applyBorder="1" applyAlignment="1">
      <alignment horizontal="left" wrapText="1"/>
    </xf>
    <xf numFmtId="0" fontId="13" fillId="5" borderId="26" xfId="0" applyFont="1" applyFill="1" applyBorder="1" applyAlignment="1">
      <alignment horizontal="left" wrapText="1"/>
    </xf>
    <xf numFmtId="0" fontId="13" fillId="5" borderId="45" xfId="0" applyFont="1" applyFill="1" applyBorder="1" applyAlignment="1">
      <alignment horizontal="left" wrapText="1"/>
    </xf>
    <xf numFmtId="0" fontId="13" fillId="5" borderId="0" xfId="0" applyFont="1" applyFill="1" applyBorder="1" applyAlignment="1">
      <alignment horizontal="left" wrapText="1"/>
    </xf>
    <xf numFmtId="0" fontId="13" fillId="5" borderId="46" xfId="0" applyFont="1" applyFill="1" applyBorder="1" applyAlignment="1">
      <alignment horizontal="left" wrapText="1"/>
    </xf>
    <xf numFmtId="0" fontId="7" fillId="0" borderId="2" xfId="0" applyFont="1" applyBorder="1" applyAlignment="1">
      <alignment horizontal="lef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2" xfId="0" applyFont="1" applyBorder="1" applyAlignment="1">
      <alignment vertical="center" wrapText="1"/>
    </xf>
    <xf numFmtId="0" fontId="9" fillId="0" borderId="3"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21" fillId="0" borderId="3" xfId="0" quotePrefix="1" applyFont="1" applyBorder="1" applyAlignment="1">
      <alignment horizontal="left" wrapText="1"/>
    </xf>
    <xf numFmtId="0" fontId="21" fillId="0" borderId="4" xfId="0" quotePrefix="1" applyFont="1" applyBorder="1" applyAlignment="1">
      <alignment horizontal="left" wrapText="1"/>
    </xf>
    <xf numFmtId="0" fontId="21" fillId="0" borderId="5" xfId="0" quotePrefix="1" applyFont="1" applyBorder="1" applyAlignment="1">
      <alignment horizontal="left"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24"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8" fillId="0" borderId="2" xfId="0" applyFont="1" applyBorder="1" applyAlignment="1" applyProtection="1">
      <alignment horizontal="left" vertical="center" wrapText="1"/>
      <protection locked="0"/>
    </xf>
    <xf numFmtId="0" fontId="15" fillId="0" borderId="2" xfId="0" applyFont="1" applyFill="1" applyBorder="1" applyAlignment="1">
      <alignment horizontal="left" vertical="center" wrapText="1"/>
    </xf>
    <xf numFmtId="0" fontId="9" fillId="0" borderId="25" xfId="0" applyFont="1" applyBorder="1" applyAlignment="1">
      <alignment horizontal="left" vertical="center" wrapText="1"/>
    </xf>
    <xf numFmtId="0" fontId="0" fillId="0" borderId="6" xfId="0" applyBorder="1" applyAlignment="1">
      <alignment horizontal="center" vertical="top" wrapText="1"/>
    </xf>
    <xf numFmtId="0" fontId="0" fillId="0" borderId="7" xfId="0" applyBorder="1" applyAlignment="1">
      <alignment horizontal="center" vertical="top" wrapText="1"/>
    </xf>
    <xf numFmtId="14" fontId="13" fillId="0" borderId="20" xfId="0" applyNumberFormat="1" applyFont="1" applyBorder="1" applyAlignment="1">
      <alignment horizontal="center"/>
    </xf>
    <xf numFmtId="14" fontId="13" fillId="0" borderId="19" xfId="0" applyNumberFormat="1" applyFont="1" applyBorder="1" applyAlignment="1">
      <alignment horizontal="center"/>
    </xf>
    <xf numFmtId="14" fontId="13" fillId="0" borderId="21" xfId="0" applyNumberFormat="1"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14" fontId="6" fillId="0" borderId="20" xfId="0" applyNumberFormat="1" applyFont="1" applyBorder="1" applyAlignment="1">
      <alignment horizontal="center"/>
    </xf>
    <xf numFmtId="14" fontId="6" fillId="0" borderId="19" xfId="0" applyNumberFormat="1" applyFont="1" applyBorder="1" applyAlignment="1">
      <alignment horizontal="center"/>
    </xf>
    <xf numFmtId="14" fontId="6" fillId="0" borderId="21" xfId="0" applyNumberFormat="1" applyFont="1" applyBorder="1" applyAlignment="1">
      <alignment horizontal="center"/>
    </xf>
    <xf numFmtId="14" fontId="26" fillId="0" borderId="20" xfId="0" applyNumberFormat="1" applyFont="1" applyBorder="1" applyAlignment="1">
      <alignment horizontal="center"/>
    </xf>
    <xf numFmtId="14" fontId="26" fillId="0" borderId="19" xfId="0" applyNumberFormat="1" applyFont="1" applyBorder="1" applyAlignment="1">
      <alignment horizontal="center"/>
    </xf>
    <xf numFmtId="0" fontId="23" fillId="0" borderId="0" xfId="0" applyFont="1" applyFill="1" applyBorder="1" applyAlignment="1">
      <alignment horizontal="left" wrapText="1"/>
    </xf>
  </cellXfs>
  <cellStyles count="10">
    <cellStyle name="Comma" xfId="7" builtinId="3"/>
    <cellStyle name="Comma 2" xfId="9" xr:uid="{DA0B017D-5526-4F6A-9747-98C5835359E6}"/>
    <cellStyle name="Hyperlink" xfId="6" builtinId="8"/>
    <cellStyle name="Normal" xfId="0" builtinId="0" customBuiltin="1"/>
    <cellStyle name="Normal 2" xfId="2" xr:uid="{00000000-0005-0000-0000-000001000000}"/>
    <cellStyle name="Normal 2 2" xfId="3" xr:uid="{00000000-0005-0000-0000-000002000000}"/>
    <cellStyle name="Normal 2 2 2" xfId="8" xr:uid="{3096BCFE-0E52-4876-A60B-E5E4C23E4BB9}"/>
    <cellStyle name="Normal 2 3" xfId="5" xr:uid="{00000000-0005-0000-0000-000003000000}"/>
    <cellStyle name="Normal 3" xfId="4" xr:uid="{00000000-0005-0000-0000-000004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LCP 1">
      <a:dk1>
        <a:sysClr val="windowText" lastClr="000000"/>
      </a:dk1>
      <a:lt1>
        <a:sysClr val="window" lastClr="FFFFFF"/>
      </a:lt1>
      <a:dk2>
        <a:srgbClr val="00A3C7"/>
      </a:dk2>
      <a:lt2>
        <a:srgbClr val="7BD0E2"/>
      </a:lt2>
      <a:accent1>
        <a:srgbClr val="00421C"/>
      </a:accent1>
      <a:accent2>
        <a:srgbClr val="9DD2A0"/>
      </a:accent2>
      <a:accent3>
        <a:srgbClr val="401664"/>
      </a:accent3>
      <a:accent4>
        <a:srgbClr val="C3A1CC"/>
      </a:accent4>
      <a:accent5>
        <a:srgbClr val="840034"/>
      </a:accent5>
      <a:accent6>
        <a:srgbClr val="F6A0A0"/>
      </a:accent6>
      <a:hlink>
        <a:srgbClr val="002F5F"/>
      </a:hlink>
      <a:folHlink>
        <a:srgbClr val="95D1F2"/>
      </a:folHlink>
    </a:clrScheme>
    <a:fontScheme name="LCP Theme Fonts">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x:/t/Baptist863/EeQsQA_ako9Fgj2Sin9gzYgBjZV_RG6vwO3s4HnLNyacEQ?e=wXosg8" TargetMode="External"/><Relationship Id="rId1" Type="http://schemas.openxmlformats.org/officeDocument/2006/relationships/hyperlink" Target="../../../../:x:/t/Baptist863/Eb5-OMJxEJNPigzM2NlxO_gBTQmAjon2Uz5kuEuNg6WWRw?e=idNSRr"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0"/>
  <sheetViews>
    <sheetView tabSelected="1" zoomScale="85" zoomScaleNormal="85" zoomScaleSheetLayoutView="100" workbookViewId="0">
      <selection activeCell="A63" sqref="A63"/>
    </sheetView>
  </sheetViews>
  <sheetFormatPr defaultColWidth="0" defaultRowHeight="13.2" zeroHeight="1" x14ac:dyDescent="0.25"/>
  <cols>
    <col min="1" max="1" width="116.88671875" style="28" customWidth="1"/>
    <col min="2" max="13" width="0" style="9" hidden="1" customWidth="1"/>
    <col min="14" max="16384" width="9.109375" style="9" hidden="1"/>
  </cols>
  <sheetData>
    <row r="1" spans="1:1" ht="27" customHeight="1" x14ac:dyDescent="0.25">
      <c r="A1" s="114" t="s">
        <v>87</v>
      </c>
    </row>
    <row r="2" spans="1:1" ht="12.75" customHeight="1" x14ac:dyDescent="0.25">
      <c r="A2" s="114"/>
    </row>
    <row r="3" spans="1:1" ht="163.19999999999999" customHeight="1" x14ac:dyDescent="0.25">
      <c r="A3" s="141" t="s">
        <v>119</v>
      </c>
    </row>
    <row r="4" spans="1:1" x14ac:dyDescent="0.25">
      <c r="A4" s="141"/>
    </row>
    <row r="5" spans="1:1" ht="12.75" customHeight="1" x14ac:dyDescent="0.25">
      <c r="A5" s="114"/>
    </row>
    <row r="6" spans="1:1" x14ac:dyDescent="0.25">
      <c r="A6" s="136" t="s">
        <v>98</v>
      </c>
    </row>
    <row r="7" spans="1:1" x14ac:dyDescent="0.25">
      <c r="A7" s="124"/>
    </row>
    <row r="8" spans="1:1" x14ac:dyDescent="0.25">
      <c r="A8" s="113" t="s">
        <v>99</v>
      </c>
    </row>
    <row r="9" spans="1:1" x14ac:dyDescent="0.25">
      <c r="A9" s="113"/>
    </row>
    <row r="10" spans="1:1" x14ac:dyDescent="0.25">
      <c r="A10" s="113" t="s">
        <v>100</v>
      </c>
    </row>
    <row r="11" spans="1:1" x14ac:dyDescent="0.25">
      <c r="A11" s="113"/>
    </row>
    <row r="12" spans="1:1" ht="39.6" x14ac:dyDescent="0.25">
      <c r="A12" s="113" t="s">
        <v>101</v>
      </c>
    </row>
    <row r="13" spans="1:1" x14ac:dyDescent="0.25">
      <c r="A13" s="113"/>
    </row>
    <row r="14" spans="1:1" ht="39.6" x14ac:dyDescent="0.25">
      <c r="A14" s="141" t="s">
        <v>160</v>
      </c>
    </row>
    <row r="15" spans="1:1" x14ac:dyDescent="0.25">
      <c r="A15" s="113"/>
    </row>
    <row r="16" spans="1:1" x14ac:dyDescent="0.25">
      <c r="A16" s="113"/>
    </row>
    <row r="17" spans="1:1" x14ac:dyDescent="0.25">
      <c r="A17" s="136" t="s">
        <v>73</v>
      </c>
    </row>
    <row r="18" spans="1:1" x14ac:dyDescent="0.25">
      <c r="A18" s="124"/>
    </row>
    <row r="19" spans="1:1" ht="44.25" customHeight="1" x14ac:dyDescent="0.25">
      <c r="A19" s="113" t="s">
        <v>111</v>
      </c>
    </row>
    <row r="20" spans="1:1" x14ac:dyDescent="0.25">
      <c r="A20" s="267" t="s">
        <v>166</v>
      </c>
    </row>
    <row r="21" spans="1:1" ht="28.5" customHeight="1" x14ac:dyDescent="0.25">
      <c r="A21" s="113" t="s">
        <v>128</v>
      </c>
    </row>
    <row r="22" spans="1:1" x14ac:dyDescent="0.25">
      <c r="A22" s="113"/>
    </row>
    <row r="23" spans="1:1" ht="52.8" x14ac:dyDescent="0.25">
      <c r="A23" s="113" t="s">
        <v>94</v>
      </c>
    </row>
    <row r="24" spans="1:1" x14ac:dyDescent="0.25">
      <c r="A24" s="113"/>
    </row>
    <row r="25" spans="1:1" x14ac:dyDescent="0.25">
      <c r="A25" s="28" t="s">
        <v>165</v>
      </c>
    </row>
    <row r="26" spans="1:1" x14ac:dyDescent="0.25"/>
    <row r="27" spans="1:1" x14ac:dyDescent="0.25">
      <c r="A27" s="28" t="s">
        <v>77</v>
      </c>
    </row>
    <row r="28" spans="1:1" x14ac:dyDescent="0.25"/>
    <row r="29" spans="1:1" x14ac:dyDescent="0.25">
      <c r="A29" s="28" t="s">
        <v>103</v>
      </c>
    </row>
    <row r="30" spans="1:1" x14ac:dyDescent="0.25"/>
    <row r="31" spans="1:1" x14ac:dyDescent="0.25">
      <c r="A31" s="28" t="s">
        <v>102</v>
      </c>
    </row>
    <row r="32" spans="1:1" x14ac:dyDescent="0.25"/>
    <row r="33" spans="1:1" ht="39.6" x14ac:dyDescent="0.25">
      <c r="A33" s="28" t="s">
        <v>120</v>
      </c>
    </row>
    <row r="34" spans="1:1" x14ac:dyDescent="0.25"/>
    <row r="35" spans="1:1" x14ac:dyDescent="0.25">
      <c r="A35" s="28" t="s">
        <v>86</v>
      </c>
    </row>
    <row r="36" spans="1:1" x14ac:dyDescent="0.25"/>
    <row r="37" spans="1:1" x14ac:dyDescent="0.25"/>
    <row r="38" spans="1:1" x14ac:dyDescent="0.25">
      <c r="A38" s="136" t="s">
        <v>78</v>
      </c>
    </row>
    <row r="39" spans="1:1" x14ac:dyDescent="0.25">
      <c r="A39" s="115"/>
    </row>
    <row r="40" spans="1:1" x14ac:dyDescent="0.25">
      <c r="A40" s="28" t="s">
        <v>121</v>
      </c>
    </row>
    <row r="41" spans="1:1" x14ac:dyDescent="0.25">
      <c r="A41" s="116" t="s">
        <v>122</v>
      </c>
    </row>
    <row r="42" spans="1:1" x14ac:dyDescent="0.25">
      <c r="A42" s="116" t="s">
        <v>123</v>
      </c>
    </row>
    <row r="43" spans="1:1" ht="66" x14ac:dyDescent="0.25">
      <c r="A43" s="262" t="s">
        <v>159</v>
      </c>
    </row>
    <row r="44" spans="1:1" x14ac:dyDescent="0.25">
      <c r="A44" s="116" t="s">
        <v>124</v>
      </c>
    </row>
    <row r="45" spans="1:1" ht="39.6" x14ac:dyDescent="0.25">
      <c r="A45" s="116" t="s">
        <v>125</v>
      </c>
    </row>
    <row r="46" spans="1:1" x14ac:dyDescent="0.25">
      <c r="A46" s="116"/>
    </row>
    <row r="47" spans="1:1" x14ac:dyDescent="0.25">
      <c r="A47" s="28" t="s">
        <v>74</v>
      </c>
    </row>
    <row r="48" spans="1:1" x14ac:dyDescent="0.25"/>
    <row r="49" spans="1:1" x14ac:dyDescent="0.25"/>
    <row r="50" spans="1:1" x14ac:dyDescent="0.25">
      <c r="A50" s="136" t="s">
        <v>79</v>
      </c>
    </row>
    <row r="51" spans="1:1" x14ac:dyDescent="0.25">
      <c r="A51" s="115"/>
    </row>
    <row r="52" spans="1:1" ht="39.6" x14ac:dyDescent="0.25">
      <c r="A52" s="28" t="s">
        <v>126</v>
      </c>
    </row>
    <row r="53" spans="1:1" x14ac:dyDescent="0.25"/>
    <row r="54" spans="1:1" x14ac:dyDescent="0.25">
      <c r="A54" s="28" t="s">
        <v>75</v>
      </c>
    </row>
    <row r="55" spans="1:1" x14ac:dyDescent="0.25">
      <c r="A55" s="116" t="s">
        <v>80</v>
      </c>
    </row>
    <row r="56" spans="1:1" x14ac:dyDescent="0.25">
      <c r="A56" s="116" t="s">
        <v>76</v>
      </c>
    </row>
    <row r="57" spans="1:1" x14ac:dyDescent="0.25">
      <c r="A57" s="116"/>
    </row>
    <row r="58" spans="1:1" x14ac:dyDescent="0.25">
      <c r="A58" s="116" t="s">
        <v>81</v>
      </c>
    </row>
    <row r="59" spans="1:1" x14ac:dyDescent="0.25">
      <c r="A59" s="116"/>
    </row>
    <row r="60" spans="1:1" ht="26.4" x14ac:dyDescent="0.25">
      <c r="A60" s="253" t="s">
        <v>169</v>
      </c>
    </row>
    <row r="61" spans="1:1" x14ac:dyDescent="0.25"/>
    <row r="62" spans="1:1" x14ac:dyDescent="0.25">
      <c r="A62" s="253" t="s">
        <v>170</v>
      </c>
    </row>
    <row r="63" spans="1:1" x14ac:dyDescent="0.25"/>
    <row r="64" spans="1:1" x14ac:dyDescent="0.25"/>
    <row r="65" spans="1:1" x14ac:dyDescent="0.25">
      <c r="A65" s="136" t="s">
        <v>82</v>
      </c>
    </row>
    <row r="66" spans="1:1" x14ac:dyDescent="0.25">
      <c r="A66" s="115"/>
    </row>
    <row r="67" spans="1:1" x14ac:dyDescent="0.25">
      <c r="A67" s="28" t="s">
        <v>85</v>
      </c>
    </row>
    <row r="68" spans="1:1" x14ac:dyDescent="0.25">
      <c r="A68" s="117"/>
    </row>
    <row r="69" spans="1:1" ht="39.6" x14ac:dyDescent="0.25">
      <c r="A69" s="117" t="s">
        <v>118</v>
      </c>
    </row>
    <row r="70" spans="1:1" x14ac:dyDescent="0.25">
      <c r="A70" s="117"/>
    </row>
    <row r="71" spans="1:1" x14ac:dyDescent="0.25">
      <c r="A71" s="28" t="s">
        <v>104</v>
      </c>
    </row>
    <row r="72" spans="1:1" x14ac:dyDescent="0.25"/>
    <row r="73" spans="1:1" ht="26.4" x14ac:dyDescent="0.25">
      <c r="A73" s="28" t="s">
        <v>105</v>
      </c>
    </row>
    <row r="74" spans="1:1" x14ac:dyDescent="0.25"/>
    <row r="75" spans="1:1" x14ac:dyDescent="0.25">
      <c r="A75" s="28" t="s">
        <v>83</v>
      </c>
    </row>
    <row r="76" spans="1:1" x14ac:dyDescent="0.25">
      <c r="A76" s="116" t="s">
        <v>106</v>
      </c>
    </row>
    <row r="77" spans="1:1" x14ac:dyDescent="0.25">
      <c r="A77" s="116" t="s">
        <v>84</v>
      </c>
    </row>
    <row r="78" spans="1:1" x14ac:dyDescent="0.25">
      <c r="A78" s="116"/>
    </row>
    <row r="79" spans="1:1" x14ac:dyDescent="0.25">
      <c r="A79" s="118" t="s">
        <v>107</v>
      </c>
    </row>
    <row r="80" spans="1:1" ht="39.6" x14ac:dyDescent="0.25">
      <c r="A80" s="118" t="s">
        <v>108</v>
      </c>
    </row>
    <row r="81" spans="1:1" x14ac:dyDescent="0.25">
      <c r="A81" s="118" t="s">
        <v>109</v>
      </c>
    </row>
    <row r="84" spans="1:1" x14ac:dyDescent="0.25"/>
    <row r="85" spans="1:1" x14ac:dyDescent="0.25"/>
    <row r="86" spans="1:1" x14ac:dyDescent="0.25"/>
    <row r="87" spans="1:1" x14ac:dyDescent="0.25"/>
    <row r="88" spans="1:1" x14ac:dyDescent="0.25"/>
    <row r="89" spans="1:1" x14ac:dyDescent="0.25"/>
    <row r="90" spans="1:1" x14ac:dyDescent="0.25"/>
  </sheetData>
  <sheetProtection algorithmName="SHA-512" hashValue="P6CEButvBzbtHfizKx+U/tqKujRVG5L4EFV9Gkgq5KCB7WZpx8wQpG9LNWHBVoULWFpUlKSE/M1s1vIhqpl9xw==" saltValue="R9NU8zmpqCfoMx7sH3UZfQ==" spinCount="100000" sheet="1" formatCells="0" formatColumns="0" formatRows="0" selectLockedCells="1"/>
  <pageMargins left="0.70866141732283472" right="0.70866141732283472" top="0.74803149606299213" bottom="0.74803149606299213" header="0.31496062992125984" footer="0.31496062992125984"/>
  <pageSetup paperSize="9" scale="92" orientation="portrait" r:id="rId1"/>
  <headerFooter>
    <oddFooter>&amp;L&amp;"Arial,Regular"&amp;8Page &amp;P of &amp;N&amp;R&amp;"Arial,Regular"&amp;8&amp;F[&amp;A]</oddFooter>
  </headerFooter>
  <rowBreaks count="1" manualBreakCount="1">
    <brk id="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zoomScaleNormal="100" zoomScaleSheetLayoutView="115" workbookViewId="0">
      <selection activeCell="B6" sqref="B6"/>
    </sheetView>
  </sheetViews>
  <sheetFormatPr defaultColWidth="0" defaultRowHeight="13.2" zeroHeight="1" x14ac:dyDescent="0.25"/>
  <cols>
    <col min="1" max="1" width="42.33203125" style="1" customWidth="1"/>
    <col min="2" max="2" width="20.109375" style="1" customWidth="1"/>
    <col min="3" max="3" width="17.33203125" style="1" customWidth="1"/>
    <col min="4" max="4" width="20.33203125" style="1" customWidth="1"/>
    <col min="5" max="5" width="20.88671875" style="1" customWidth="1"/>
    <col min="6" max="6" width="17.44140625" style="1" bestFit="1" customWidth="1"/>
    <col min="7" max="7" width="15.44140625" style="1" customWidth="1"/>
    <col min="8" max="8" width="9.109375" style="1" customWidth="1"/>
    <col min="9" max="16384" width="9.109375" style="1" hidden="1"/>
  </cols>
  <sheetData>
    <row r="1" spans="1:8" x14ac:dyDescent="0.25">
      <c r="A1" s="76" t="s">
        <v>43</v>
      </c>
    </row>
    <row r="2" spans="1:8" x14ac:dyDescent="0.25">
      <c r="A2" s="122" t="s">
        <v>44</v>
      </c>
      <c r="B2" s="123"/>
      <c r="C2" s="123"/>
      <c r="D2" s="123"/>
    </row>
    <row r="3" spans="1:8" x14ac:dyDescent="0.25"/>
    <row r="4" spans="1:8" ht="19.2" customHeight="1" x14ac:dyDescent="0.3">
      <c r="A4" s="2" t="s">
        <v>41</v>
      </c>
      <c r="B4" s="137"/>
      <c r="C4" s="75" t="str">
        <f>IF(B4="","Input required","")</f>
        <v>Input required</v>
      </c>
      <c r="D4" s="272" t="str">
        <f>IF(Accounting_date&gt;DATE(2021,1,31),"Default assumptions are not automatically available for accounting dates after 31 January 2021.  If you wish to use the default rate, you will have to look these up on the the Baptist Pensions website and enter them in the lavender cells below.","")</f>
        <v/>
      </c>
      <c r="E4" s="273"/>
      <c r="F4" s="273"/>
      <c r="G4" s="273"/>
      <c r="H4" s="274"/>
    </row>
    <row r="5" spans="1:8" ht="21.6" customHeight="1" x14ac:dyDescent="0.25">
      <c r="A5" s="3"/>
      <c r="D5" s="275"/>
      <c r="E5" s="276"/>
      <c r="F5" s="276"/>
      <c r="G5" s="276"/>
      <c r="H5" s="277"/>
    </row>
    <row r="6" spans="1:8" ht="15.6" x14ac:dyDescent="0.3">
      <c r="A6" s="2" t="s">
        <v>1</v>
      </c>
      <c r="B6" s="137"/>
      <c r="C6" s="74" t="str">
        <f>IF(DAY(Accounting_date)&lt;&gt;DAY(EOMONTH(Accounting_date,0)),"ERROR: accounting date must be at a month end.","")</f>
        <v>ERROR: accounting date must be at a month end.</v>
      </c>
      <c r="D6" s="254"/>
      <c r="E6" s="255"/>
      <c r="F6" s="255"/>
      <c r="G6" s="255"/>
      <c r="H6" s="256"/>
    </row>
    <row r="7" spans="1:8" ht="24" customHeight="1" x14ac:dyDescent="0.3">
      <c r="A7" s="2"/>
      <c r="B7" s="74"/>
      <c r="C7" s="74"/>
      <c r="D7" s="257"/>
      <c r="E7" s="258"/>
      <c r="F7" s="258"/>
      <c r="G7" s="258"/>
      <c r="H7" s="259"/>
    </row>
    <row r="8" spans="1:8" ht="12.75" customHeight="1" x14ac:dyDescent="0.25"/>
    <row r="9" spans="1:8" ht="15.75" customHeight="1" x14ac:dyDescent="0.3">
      <c r="A9" s="2" t="s">
        <v>139</v>
      </c>
      <c r="B9" s="138"/>
      <c r="C9" s="294" t="s">
        <v>127</v>
      </c>
      <c r="D9" s="295"/>
      <c r="E9" s="295"/>
      <c r="F9" s="295"/>
      <c r="G9" s="296"/>
    </row>
    <row r="10" spans="1:8" ht="49.5" customHeight="1" x14ac:dyDescent="0.25">
      <c r="B10" s="75" t="str">
        <f>IF(percentage_cont="","Input required","")</f>
        <v>Input required</v>
      </c>
      <c r="C10" s="297"/>
      <c r="D10" s="298"/>
      <c r="E10" s="298"/>
      <c r="F10" s="298"/>
      <c r="G10" s="299"/>
    </row>
    <row r="11" spans="1:8" x14ac:dyDescent="0.25">
      <c r="A11" s="72"/>
      <c r="B11" s="73"/>
      <c r="C11" s="59"/>
    </row>
    <row r="12" spans="1:8" ht="15.6" x14ac:dyDescent="0.3">
      <c r="A12" s="278" t="s">
        <v>112</v>
      </c>
      <c r="B12" s="279"/>
      <c r="C12" s="280"/>
    </row>
    <row r="13" spans="1:8" ht="26.4" customHeight="1" x14ac:dyDescent="0.3">
      <c r="A13" s="69"/>
      <c r="B13" s="70"/>
      <c r="C13" s="71"/>
      <c r="E13" s="300" t="s">
        <v>158</v>
      </c>
      <c r="F13" s="301"/>
      <c r="G13" s="301"/>
      <c r="H13" s="302"/>
    </row>
    <row r="14" spans="1:8" x14ac:dyDescent="0.25">
      <c r="A14" s="6" t="s">
        <v>113</v>
      </c>
      <c r="B14" s="260">
        <f>EOMONTH(Accounting_date,1)</f>
        <v>59</v>
      </c>
      <c r="C14" s="139"/>
      <c r="D14" s="174" t="str">
        <f>IF(C14="","ERROR - input required.","")</f>
        <v>ERROR - input required.</v>
      </c>
      <c r="E14" s="303"/>
      <c r="F14" s="304"/>
      <c r="G14" s="304"/>
      <c r="H14" s="305"/>
    </row>
    <row r="15" spans="1:8" ht="15.6" x14ac:dyDescent="0.3">
      <c r="A15" s="69"/>
      <c r="B15" s="70"/>
      <c r="C15" s="71"/>
      <c r="E15" s="175"/>
      <c r="F15" s="176"/>
      <c r="G15" s="177"/>
    </row>
    <row r="16" spans="1:8" x14ac:dyDescent="0.25">
      <c r="C16" s="4" t="s">
        <v>2</v>
      </c>
      <c r="F16" s="5" t="s">
        <v>3</v>
      </c>
    </row>
    <row r="17" spans="1:7" x14ac:dyDescent="0.25">
      <c r="A17" s="6" t="s">
        <v>113</v>
      </c>
      <c r="B17" s="7">
        <f>Accounting_date</f>
        <v>0</v>
      </c>
      <c r="C17" s="139"/>
      <c r="D17" s="75" t="str">
        <f>IF(C17="","Input required","")</f>
        <v>Input required</v>
      </c>
      <c r="E17" s="7" t="e">
        <f>EOMONTH(B28,-1)</f>
        <v>#NUM!</v>
      </c>
      <c r="F17" s="139"/>
      <c r="G17" s="75" t="str">
        <f>IF(F17="","Input required","")</f>
        <v>Input required</v>
      </c>
    </row>
    <row r="18" spans="1:7" x14ac:dyDescent="0.25">
      <c r="A18" s="6"/>
      <c r="B18" s="7" t="e">
        <f>EOMONTH(B17,-1)</f>
        <v>#NUM!</v>
      </c>
      <c r="C18" s="139"/>
      <c r="D18" s="75" t="str">
        <f t="shared" ref="D18:D28" si="0">IF(C18="","Input required","")</f>
        <v>Input required</v>
      </c>
      <c r="E18" s="7" t="e">
        <f t="shared" ref="E18:E28" si="1">EOMONTH(E17,-1)</f>
        <v>#NUM!</v>
      </c>
      <c r="F18" s="139"/>
      <c r="G18" s="75" t="str">
        <f t="shared" ref="G18:G28" si="2">IF(F18="","Input required","")</f>
        <v>Input required</v>
      </c>
    </row>
    <row r="19" spans="1:7" x14ac:dyDescent="0.25">
      <c r="A19" s="6"/>
      <c r="B19" s="7" t="e">
        <f t="shared" ref="B19:B28" si="3">EOMONTH(B18,-1)</f>
        <v>#NUM!</v>
      </c>
      <c r="C19" s="139"/>
      <c r="D19" s="75" t="str">
        <f t="shared" si="0"/>
        <v>Input required</v>
      </c>
      <c r="E19" s="7" t="e">
        <f t="shared" si="1"/>
        <v>#NUM!</v>
      </c>
      <c r="F19" s="139"/>
      <c r="G19" s="75" t="str">
        <f t="shared" si="2"/>
        <v>Input required</v>
      </c>
    </row>
    <row r="20" spans="1:7" x14ac:dyDescent="0.25">
      <c r="A20" s="6"/>
      <c r="B20" s="7" t="e">
        <f t="shared" si="3"/>
        <v>#NUM!</v>
      </c>
      <c r="C20" s="139"/>
      <c r="D20" s="75" t="str">
        <f t="shared" si="0"/>
        <v>Input required</v>
      </c>
      <c r="E20" s="7" t="e">
        <f t="shared" si="1"/>
        <v>#NUM!</v>
      </c>
      <c r="F20" s="139"/>
      <c r="G20" s="75" t="str">
        <f t="shared" si="2"/>
        <v>Input required</v>
      </c>
    </row>
    <row r="21" spans="1:7" x14ac:dyDescent="0.25">
      <c r="A21" s="6"/>
      <c r="B21" s="7" t="e">
        <f t="shared" si="3"/>
        <v>#NUM!</v>
      </c>
      <c r="C21" s="139"/>
      <c r="D21" s="75" t="str">
        <f t="shared" si="0"/>
        <v>Input required</v>
      </c>
      <c r="E21" s="7" t="e">
        <f t="shared" si="1"/>
        <v>#NUM!</v>
      </c>
      <c r="F21" s="139"/>
      <c r="G21" s="75" t="str">
        <f t="shared" si="2"/>
        <v>Input required</v>
      </c>
    </row>
    <row r="22" spans="1:7" x14ac:dyDescent="0.25">
      <c r="A22" s="6"/>
      <c r="B22" s="7" t="e">
        <f t="shared" si="3"/>
        <v>#NUM!</v>
      </c>
      <c r="C22" s="139"/>
      <c r="D22" s="75" t="str">
        <f t="shared" si="0"/>
        <v>Input required</v>
      </c>
      <c r="E22" s="7" t="e">
        <f t="shared" si="1"/>
        <v>#NUM!</v>
      </c>
      <c r="F22" s="139"/>
      <c r="G22" s="75" t="str">
        <f t="shared" si="2"/>
        <v>Input required</v>
      </c>
    </row>
    <row r="23" spans="1:7" x14ac:dyDescent="0.25">
      <c r="A23" s="6"/>
      <c r="B23" s="7" t="e">
        <f t="shared" si="3"/>
        <v>#NUM!</v>
      </c>
      <c r="C23" s="139"/>
      <c r="D23" s="75" t="str">
        <f t="shared" si="0"/>
        <v>Input required</v>
      </c>
      <c r="E23" s="7" t="e">
        <f t="shared" si="1"/>
        <v>#NUM!</v>
      </c>
      <c r="F23" s="139"/>
      <c r="G23" s="75" t="str">
        <f t="shared" si="2"/>
        <v>Input required</v>
      </c>
    </row>
    <row r="24" spans="1:7" x14ac:dyDescent="0.25">
      <c r="A24" s="6"/>
      <c r="B24" s="7" t="e">
        <f t="shared" si="3"/>
        <v>#NUM!</v>
      </c>
      <c r="C24" s="139"/>
      <c r="D24" s="75" t="str">
        <f t="shared" si="0"/>
        <v>Input required</v>
      </c>
      <c r="E24" s="7" t="e">
        <f t="shared" si="1"/>
        <v>#NUM!</v>
      </c>
      <c r="F24" s="139"/>
      <c r="G24" s="75" t="str">
        <f t="shared" si="2"/>
        <v>Input required</v>
      </c>
    </row>
    <row r="25" spans="1:7" x14ac:dyDescent="0.25">
      <c r="A25" s="6"/>
      <c r="B25" s="7" t="e">
        <f t="shared" si="3"/>
        <v>#NUM!</v>
      </c>
      <c r="C25" s="139"/>
      <c r="D25" s="75" t="str">
        <f t="shared" si="0"/>
        <v>Input required</v>
      </c>
      <c r="E25" s="7" t="e">
        <f t="shared" si="1"/>
        <v>#NUM!</v>
      </c>
      <c r="F25" s="139"/>
      <c r="G25" s="75" t="str">
        <f t="shared" si="2"/>
        <v>Input required</v>
      </c>
    </row>
    <row r="26" spans="1:7" x14ac:dyDescent="0.25">
      <c r="A26" s="6"/>
      <c r="B26" s="7" t="e">
        <f t="shared" si="3"/>
        <v>#NUM!</v>
      </c>
      <c r="C26" s="139"/>
      <c r="D26" s="75" t="str">
        <f t="shared" si="0"/>
        <v>Input required</v>
      </c>
      <c r="E26" s="7" t="e">
        <f t="shared" si="1"/>
        <v>#NUM!</v>
      </c>
      <c r="F26" s="139"/>
      <c r="G26" s="75" t="str">
        <f t="shared" si="2"/>
        <v>Input required</v>
      </c>
    </row>
    <row r="27" spans="1:7" x14ac:dyDescent="0.25">
      <c r="A27" s="6"/>
      <c r="B27" s="7" t="e">
        <f t="shared" si="3"/>
        <v>#NUM!</v>
      </c>
      <c r="C27" s="139"/>
      <c r="D27" s="75" t="str">
        <f t="shared" si="0"/>
        <v>Input required</v>
      </c>
      <c r="E27" s="7" t="e">
        <f t="shared" si="1"/>
        <v>#NUM!</v>
      </c>
      <c r="F27" s="139"/>
      <c r="G27" s="75" t="str">
        <f t="shared" si="2"/>
        <v>Input required</v>
      </c>
    </row>
    <row r="28" spans="1:7" x14ac:dyDescent="0.25">
      <c r="A28" s="6"/>
      <c r="B28" s="260" t="e">
        <f t="shared" si="3"/>
        <v>#NUM!</v>
      </c>
      <c r="C28" s="139"/>
      <c r="D28" s="75" t="str">
        <f t="shared" si="0"/>
        <v>Input required</v>
      </c>
      <c r="E28" s="260" t="e">
        <f t="shared" si="1"/>
        <v>#NUM!</v>
      </c>
      <c r="F28" s="139"/>
      <c r="G28" s="75" t="str">
        <f t="shared" si="2"/>
        <v>Input required</v>
      </c>
    </row>
    <row r="29" spans="1:7" x14ac:dyDescent="0.25">
      <c r="A29" s="6"/>
    </row>
    <row r="30" spans="1:7" x14ac:dyDescent="0.25">
      <c r="B30" s="5" t="s">
        <v>5</v>
      </c>
      <c r="C30" s="8">
        <f>SUM(C17:C28)</f>
        <v>0</v>
      </c>
      <c r="F30" s="8">
        <f>SUM(F17:F28)</f>
        <v>0</v>
      </c>
    </row>
    <row r="31" spans="1:7" x14ac:dyDescent="0.25"/>
    <row r="32" spans="1:7" ht="15.6" x14ac:dyDescent="0.3">
      <c r="A32" s="278" t="s">
        <v>70</v>
      </c>
      <c r="B32" s="279"/>
      <c r="C32" s="280"/>
      <c r="D32" s="60"/>
    </row>
    <row r="33" spans="1:7" x14ac:dyDescent="0.25">
      <c r="A33" s="37"/>
      <c r="B33" s="68">
        <f>Accounting_date</f>
        <v>0</v>
      </c>
      <c r="C33" s="68" t="e">
        <f>EOMONTH(B33,-12)</f>
        <v>#NUM!</v>
      </c>
      <c r="D33" s="68" t="e">
        <f>EOMONTH(C33,-12)</f>
        <v>#NUM!</v>
      </c>
      <c r="E33" s="59"/>
    </row>
    <row r="34" spans="1:7" ht="12.75" customHeight="1" x14ac:dyDescent="0.25">
      <c r="A34" s="37" t="s">
        <v>45</v>
      </c>
      <c r="B34" s="63" t="e">
        <f>INDEX(DR_yields,MATCH(B33,Yield_dates,0),)</f>
        <v>#N/A</v>
      </c>
      <c r="C34" s="63" t="e">
        <f>INDEX(DR_yields,MATCH(C33,Yield_dates,0),)</f>
        <v>#NUM!</v>
      </c>
      <c r="D34" s="63" t="e">
        <f>INDEX(DR_yields,MATCH(D33,Yield_dates,0),)</f>
        <v>#NUM!</v>
      </c>
      <c r="E34" s="281" t="s">
        <v>167</v>
      </c>
      <c r="F34" s="281"/>
      <c r="G34" s="282"/>
    </row>
    <row r="35" spans="1:7" x14ac:dyDescent="0.25">
      <c r="A35" s="37" t="s">
        <v>46</v>
      </c>
      <c r="B35" s="62" t="e">
        <f>INDEX(Inflation_yields,MATCH(B33,Yield_dates,0),)</f>
        <v>#N/A</v>
      </c>
      <c r="C35" s="62" t="e">
        <f>INDEX(Inflation_yields,MATCH(C33,Yield_dates,0),)</f>
        <v>#NUM!</v>
      </c>
      <c r="D35" s="62" t="e">
        <f>INDEX(Inflation_yields,MATCH(D33,Yield_dates,0),)</f>
        <v>#NUM!</v>
      </c>
      <c r="E35" s="283"/>
      <c r="F35" s="283"/>
      <c r="G35" s="284"/>
    </row>
    <row r="36" spans="1:7" x14ac:dyDescent="0.25">
      <c r="C36" s="61"/>
      <c r="D36" s="61"/>
    </row>
    <row r="37" spans="1:7" x14ac:dyDescent="0.25">
      <c r="A37" s="5" t="s">
        <v>42</v>
      </c>
    </row>
    <row r="38" spans="1:7" ht="12.75" customHeight="1" x14ac:dyDescent="0.25">
      <c r="A38" s="9" t="s">
        <v>13</v>
      </c>
      <c r="B38" s="140"/>
      <c r="C38" s="140"/>
      <c r="D38" s="140"/>
      <c r="E38" s="285" t="s">
        <v>168</v>
      </c>
      <c r="F38" s="286"/>
      <c r="G38" s="287"/>
    </row>
    <row r="39" spans="1:7" x14ac:dyDescent="0.25">
      <c r="A39" s="9" t="s">
        <v>71</v>
      </c>
      <c r="B39" s="140"/>
      <c r="C39" s="140"/>
      <c r="D39" s="140"/>
      <c r="E39" s="288"/>
      <c r="F39" s="289"/>
      <c r="G39" s="290"/>
    </row>
    <row r="40" spans="1:7" x14ac:dyDescent="0.25">
      <c r="E40" s="288"/>
      <c r="F40" s="289"/>
      <c r="G40" s="290"/>
    </row>
    <row r="41" spans="1:7" x14ac:dyDescent="0.25">
      <c r="A41" s="65" t="s">
        <v>47</v>
      </c>
      <c r="E41" s="288"/>
      <c r="F41" s="289"/>
      <c r="G41" s="290"/>
    </row>
    <row r="42" spans="1:7" x14ac:dyDescent="0.25">
      <c r="E42" s="288"/>
      <c r="F42" s="289"/>
      <c r="G42" s="290"/>
    </row>
    <row r="43" spans="1:7" x14ac:dyDescent="0.25">
      <c r="E43" s="291"/>
      <c r="F43" s="292"/>
      <c r="G43" s="293"/>
    </row>
  </sheetData>
  <sheetProtection algorithmName="SHA-512" hashValue="c6NnOMwk770JZlOPg3b4x4vpDFYJm5FXykcG+u0X0Ai51t+SO+Ra5nbaMQlEInRXlU4V2lthGJ8ZFvHVMuJvBA==" saltValue="/xHwkRT/tgZniJQ9ZFbbcw==" spinCount="100000" sheet="1" formatCells="0" formatColumns="0" formatRows="0" selectLockedCells="1"/>
  <mergeCells count="7">
    <mergeCell ref="D4:H5"/>
    <mergeCell ref="A12:C12"/>
    <mergeCell ref="E34:G35"/>
    <mergeCell ref="A32:C32"/>
    <mergeCell ref="E38:G43"/>
    <mergeCell ref="C9:G10"/>
    <mergeCell ref="E13:H14"/>
  </mergeCells>
  <dataValidations count="3">
    <dataValidation type="decimal" allowBlank="1" showErrorMessage="1" errorTitle="Assumptions" error="Please enter a figure between 0% and 10%" sqref="B38:D39" xr:uid="{00000000-0002-0000-0100-000000000000}">
      <formula1>0</formula1>
      <formula2>0.1</formula2>
    </dataValidation>
    <dataValidation type="date" operator="greaterThanOrEqual" allowBlank="1" showInputMessage="1" showErrorMessage="1" prompt="Accounting date must be month end on or after 30 June 2015" sqref="B6" xr:uid="{00000000-0002-0000-0100-000001000000}">
      <formula1>42185</formula1>
    </dataValidation>
    <dataValidation allowBlank="1" showInputMessage="1" showErrorMessage="1" prompt="Enter the name of your organisation" sqref="B4" xr:uid="{00000000-0002-0000-0100-000002000000}"/>
  </dataValidations>
  <pageMargins left="0.7" right="0.7" top="0.75" bottom="0.75" header="0.3" footer="0.3"/>
  <pageSetup paperSize="9" scale="81" orientation="landscape" r:id="rId1"/>
  <headerFooter>
    <oddFooter>&amp;L&amp;"Arial,Regular"&amp;8Page &amp;P of &amp;N&amp;R&amp;"Arial,Regular"&amp;8&amp;F[&amp;A]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Basis!$B$12:$B$18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topLeftCell="A13" zoomScaleNormal="100" zoomScaleSheetLayoutView="115" workbookViewId="0">
      <selection activeCell="A17" sqref="A17:D17"/>
    </sheetView>
  </sheetViews>
  <sheetFormatPr defaultColWidth="0" defaultRowHeight="13.2" zeroHeight="1" x14ac:dyDescent="0.25"/>
  <cols>
    <col min="1" max="1" width="33.33203125" style="9" customWidth="1"/>
    <col min="2" max="2" width="19.5546875" style="9" customWidth="1"/>
    <col min="3" max="3" width="20.109375" style="9" bestFit="1" customWidth="1"/>
    <col min="4" max="4" width="20" style="9" bestFit="1" customWidth="1"/>
    <col min="5" max="11" width="13.33203125" style="9" hidden="1" customWidth="1"/>
    <col min="12" max="16384" width="9.109375" style="9" hidden="1"/>
  </cols>
  <sheetData>
    <row r="1" spans="1:4" ht="20.399999999999999" x14ac:dyDescent="0.25">
      <c r="A1" s="306" t="s">
        <v>51</v>
      </c>
      <c r="B1" s="306"/>
      <c r="C1" s="306"/>
      <c r="D1" s="306"/>
    </row>
    <row r="2" spans="1:4" ht="20.399999999999999" x14ac:dyDescent="0.25">
      <c r="A2" s="126"/>
      <c r="B2" s="127"/>
      <c r="C2" s="127"/>
      <c r="D2" s="128"/>
    </row>
    <row r="3" spans="1:4" ht="26.25" customHeight="1" x14ac:dyDescent="0.25">
      <c r="A3" s="307" t="s">
        <v>140</v>
      </c>
      <c r="B3" s="308"/>
      <c r="C3" s="308"/>
      <c r="D3" s="309"/>
    </row>
    <row r="4" spans="1:4" x14ac:dyDescent="0.25">
      <c r="A4" s="129"/>
      <c r="B4" s="130"/>
      <c r="C4" s="130"/>
      <c r="D4" s="131"/>
    </row>
    <row r="5" spans="1:4" ht="42.75" customHeight="1" x14ac:dyDescent="0.25">
      <c r="A5" s="307" t="s">
        <v>110</v>
      </c>
      <c r="B5" s="308"/>
      <c r="C5" s="308"/>
      <c r="D5" s="309"/>
    </row>
    <row r="6" spans="1:4" x14ac:dyDescent="0.25">
      <c r="A6" s="129"/>
      <c r="B6" s="130"/>
      <c r="C6" s="130"/>
      <c r="D6" s="131"/>
    </row>
    <row r="7" spans="1:4" x14ac:dyDescent="0.25">
      <c r="A7" s="132" t="s">
        <v>114</v>
      </c>
      <c r="B7" s="130"/>
      <c r="C7" s="130"/>
      <c r="D7" s="131"/>
    </row>
    <row r="8" spans="1:4" x14ac:dyDescent="0.25">
      <c r="A8" s="132"/>
      <c r="B8" s="130"/>
      <c r="C8" s="130"/>
      <c r="D8" s="131"/>
    </row>
    <row r="9" spans="1:4" ht="20.399999999999999" x14ac:dyDescent="0.25">
      <c r="A9" s="306" t="s">
        <v>115</v>
      </c>
      <c r="B9" s="306"/>
      <c r="C9" s="306"/>
      <c r="D9" s="306"/>
    </row>
    <row r="10" spans="1:4" ht="24" customHeight="1" x14ac:dyDescent="0.25">
      <c r="A10" s="310" t="s">
        <v>52</v>
      </c>
      <c r="B10" s="310"/>
      <c r="C10" s="310"/>
      <c r="D10" s="310"/>
    </row>
    <row r="11" spans="1:4" ht="47.25" customHeight="1" x14ac:dyDescent="0.25">
      <c r="A11" s="311" t="s">
        <v>53</v>
      </c>
      <c r="B11" s="311"/>
      <c r="C11" s="311"/>
      <c r="D11" s="311"/>
    </row>
    <row r="12" spans="1:4" ht="28.5" customHeight="1" x14ac:dyDescent="0.25">
      <c r="A12" s="312" t="s">
        <v>54</v>
      </c>
      <c r="B12" s="312"/>
      <c r="C12" s="312"/>
      <c r="D12" s="312"/>
    </row>
    <row r="13" spans="1:4" ht="72" customHeight="1" x14ac:dyDescent="0.25">
      <c r="A13" s="312" t="s">
        <v>116</v>
      </c>
      <c r="B13" s="312"/>
      <c r="C13" s="312"/>
      <c r="D13" s="312"/>
    </row>
    <row r="14" spans="1:4" ht="129" customHeight="1" x14ac:dyDescent="0.25">
      <c r="A14" s="315" t="s">
        <v>164</v>
      </c>
      <c r="B14" s="316"/>
      <c r="C14" s="316"/>
      <c r="D14" s="317"/>
    </row>
    <row r="15" spans="1:4" ht="85.5" customHeight="1" x14ac:dyDescent="0.25">
      <c r="A15" s="313" t="s">
        <v>132</v>
      </c>
      <c r="B15" s="314"/>
      <c r="C15" s="314"/>
      <c r="D15" s="314"/>
    </row>
    <row r="16" spans="1:4" ht="21.75" customHeight="1" x14ac:dyDescent="0.25">
      <c r="A16" s="310" t="s">
        <v>151</v>
      </c>
      <c r="B16" s="310"/>
      <c r="C16" s="310"/>
      <c r="D16" s="310"/>
    </row>
    <row r="17" spans="1:4" ht="74.25" customHeight="1" x14ac:dyDescent="0.25">
      <c r="A17" s="318" t="s">
        <v>161</v>
      </c>
      <c r="B17" s="318"/>
      <c r="C17" s="318"/>
      <c r="D17" s="318"/>
    </row>
    <row r="18" spans="1:4" x14ac:dyDescent="0.25">
      <c r="A18" s="332" t="s">
        <v>55</v>
      </c>
      <c r="B18" s="332"/>
      <c r="C18" s="332"/>
      <c r="D18" s="332"/>
    </row>
    <row r="19" spans="1:4" x14ac:dyDescent="0.25">
      <c r="A19" s="80"/>
      <c r="B19" s="80"/>
      <c r="C19" s="91"/>
      <c r="D19" s="91"/>
    </row>
    <row r="20" spans="1:4" ht="23.25" customHeight="1" thickBot="1" x14ac:dyDescent="0.3">
      <c r="A20" s="81" t="s">
        <v>56</v>
      </c>
      <c r="B20" s="82" t="s">
        <v>57</v>
      </c>
      <c r="C20" s="77"/>
      <c r="D20" s="77"/>
    </row>
    <row r="21" spans="1:4" ht="14.4" thickTop="1" thickBot="1" x14ac:dyDescent="0.3">
      <c r="A21" s="83" t="s">
        <v>58</v>
      </c>
      <c r="B21" s="157">
        <v>3.2</v>
      </c>
      <c r="C21" s="77"/>
      <c r="D21" s="77"/>
    </row>
    <row r="22" spans="1:4" ht="13.8" thickTop="1" x14ac:dyDescent="0.25">
      <c r="A22" s="84" t="s">
        <v>59</v>
      </c>
      <c r="B22" s="158">
        <v>2.7</v>
      </c>
      <c r="C22" s="77"/>
      <c r="D22" s="77"/>
    </row>
    <row r="23" spans="1:4" ht="22.8" x14ac:dyDescent="0.25">
      <c r="A23" s="84" t="s">
        <v>156</v>
      </c>
      <c r="B23" s="263">
        <v>3.2</v>
      </c>
      <c r="C23" s="77"/>
      <c r="D23" s="77"/>
    </row>
    <row r="24" spans="1:4" x14ac:dyDescent="0.25">
      <c r="A24" s="84" t="s">
        <v>60</v>
      </c>
      <c r="B24" s="158"/>
      <c r="C24" s="77"/>
      <c r="D24" s="77"/>
    </row>
    <row r="25" spans="1:4" x14ac:dyDescent="0.25">
      <c r="A25" s="84" t="s">
        <v>61</v>
      </c>
      <c r="B25" s="158">
        <v>2.95</v>
      </c>
      <c r="C25" s="77"/>
      <c r="D25" s="77"/>
    </row>
    <row r="26" spans="1:4" x14ac:dyDescent="0.25">
      <c r="A26" s="84" t="s">
        <v>62</v>
      </c>
      <c r="B26" s="158">
        <v>1.7</v>
      </c>
      <c r="C26" s="77"/>
      <c r="D26" s="77"/>
    </row>
    <row r="27" spans="1:4" x14ac:dyDescent="0.25">
      <c r="A27" s="84" t="s">
        <v>63</v>
      </c>
      <c r="B27" s="158"/>
      <c r="C27" s="77"/>
      <c r="D27" s="77"/>
    </row>
    <row r="28" spans="1:4" x14ac:dyDescent="0.25">
      <c r="A28" s="84" t="s">
        <v>64</v>
      </c>
      <c r="B28" s="158">
        <v>3.2</v>
      </c>
      <c r="C28" s="77"/>
      <c r="D28" s="77"/>
    </row>
    <row r="29" spans="1:4" x14ac:dyDescent="0.25">
      <c r="A29" s="84" t="s">
        <v>65</v>
      </c>
      <c r="B29" s="158">
        <v>2.5</v>
      </c>
      <c r="C29" s="77"/>
      <c r="D29" s="77"/>
    </row>
    <row r="30" spans="1:4" x14ac:dyDescent="0.25">
      <c r="A30" s="84" t="s">
        <v>66</v>
      </c>
      <c r="B30" s="158"/>
      <c r="C30" s="77"/>
      <c r="D30" s="77"/>
    </row>
    <row r="31" spans="1:4" ht="13.8" thickBot="1" x14ac:dyDescent="0.3">
      <c r="A31" s="85" t="s">
        <v>157</v>
      </c>
      <c r="B31" s="159">
        <v>2.7</v>
      </c>
      <c r="C31" s="77"/>
      <c r="D31" s="77"/>
    </row>
    <row r="32" spans="1:4" x14ac:dyDescent="0.25">
      <c r="A32" s="77"/>
      <c r="B32" s="77"/>
      <c r="C32" s="77"/>
      <c r="D32" s="77"/>
    </row>
    <row r="33" spans="1:4" ht="51.75" customHeight="1" x14ac:dyDescent="0.25">
      <c r="A33" s="327" t="s">
        <v>162</v>
      </c>
      <c r="B33" s="327"/>
      <c r="C33" s="327"/>
      <c r="D33" s="327"/>
    </row>
    <row r="34" spans="1:4" ht="30.75" customHeight="1" x14ac:dyDescent="0.25">
      <c r="A34" s="328" t="s">
        <v>152</v>
      </c>
      <c r="B34" s="329"/>
      <c r="C34" s="329"/>
      <c r="D34" s="329"/>
    </row>
    <row r="35" spans="1:4" ht="21.75" customHeight="1" x14ac:dyDescent="0.25">
      <c r="A35" s="310" t="s">
        <v>68</v>
      </c>
      <c r="B35" s="310"/>
      <c r="C35" s="310"/>
      <c r="D35" s="310"/>
    </row>
    <row r="36" spans="1:4" ht="39" customHeight="1" x14ac:dyDescent="0.25">
      <c r="A36" s="311" t="s">
        <v>141</v>
      </c>
      <c r="B36" s="311"/>
      <c r="C36" s="311"/>
      <c r="D36" s="311"/>
    </row>
    <row r="37" spans="1:4" ht="52.2" customHeight="1" x14ac:dyDescent="0.25">
      <c r="A37" s="331" t="s">
        <v>163</v>
      </c>
      <c r="B37" s="331"/>
      <c r="C37" s="331"/>
      <c r="D37" s="331"/>
    </row>
    <row r="38" spans="1:4" x14ac:dyDescent="0.25">
      <c r="A38" s="78"/>
      <c r="B38" s="78"/>
      <c r="C38" s="78"/>
      <c r="D38" s="78"/>
    </row>
    <row r="39" spans="1:4" x14ac:dyDescent="0.25">
      <c r="A39" s="310" t="s">
        <v>69</v>
      </c>
      <c r="B39" s="310"/>
      <c r="C39" s="310"/>
      <c r="D39" s="310"/>
    </row>
    <row r="40" spans="1:4" ht="24.75" customHeight="1" x14ac:dyDescent="0.25">
      <c r="A40" s="311" t="s">
        <v>36</v>
      </c>
      <c r="B40" s="311"/>
      <c r="C40" s="311"/>
      <c r="D40" s="311"/>
    </row>
    <row r="41" spans="1:4" x14ac:dyDescent="0.25">
      <c r="A41" s="67"/>
      <c r="B41" s="65"/>
      <c r="C41" s="65"/>
      <c r="D41" s="65"/>
    </row>
    <row r="42" spans="1:4" ht="24.75" customHeight="1" thickBot="1" x14ac:dyDescent="0.3">
      <c r="A42" s="66" t="s">
        <v>40</v>
      </c>
      <c r="B42" s="125">
        <f>Accounting_date</f>
        <v>0</v>
      </c>
      <c r="C42" s="125" t="e">
        <f>Accounting_date_prev</f>
        <v>#NUM!</v>
      </c>
      <c r="D42" s="65"/>
    </row>
    <row r="43" spans="1:4" ht="27.75" customHeight="1" thickTop="1" x14ac:dyDescent="0.25">
      <c r="A43" s="92" t="str">
        <f>"Balance sheet liability at year start"</f>
        <v>Balance sheet liability at year start</v>
      </c>
      <c r="B43" s="93" t="str">
        <f>IF(Basis!B3=0,"Inputs not complete",Liability_prev)</f>
        <v>Inputs not complete</v>
      </c>
      <c r="C43" s="93" t="str">
        <f>IF(Basis!B3=0,"Inputs not complete",Liability_prev2)</f>
        <v>Inputs not complete</v>
      </c>
      <c r="D43" s="87"/>
    </row>
    <row r="44" spans="1:4" ht="27.75" customHeight="1" x14ac:dyDescent="0.25">
      <c r="A44" s="94" t="s">
        <v>117</v>
      </c>
      <c r="B44" s="95" t="str">
        <f>IF(Basis!B3=0,"Inputs not complete",-Current_year_DRCs)</f>
        <v>Inputs not complete</v>
      </c>
      <c r="C44" s="95" t="str">
        <f>IF(Basis!B3=0,"Inputs not complete",-Prev_year_DRCs)</f>
        <v>Inputs not complete</v>
      </c>
      <c r="D44" s="87"/>
    </row>
    <row r="45" spans="1:4" ht="27.75" customHeight="1" x14ac:dyDescent="0.25">
      <c r="A45" s="94" t="s">
        <v>34</v>
      </c>
      <c r="B45" s="95" t="str">
        <f>IF(Basis!B3=0,"Inputs not complete",B43*DR_prev+B44*((1+DR_prev)^0.5-1))</f>
        <v>Inputs not complete</v>
      </c>
      <c r="C45" s="95" t="str">
        <f>IF(Basis!B3=0,"Inputs not complete",C43*DR_prev2+C44*((1+DR_prev2)^0.5-1))</f>
        <v>Inputs not complete</v>
      </c>
      <c r="D45" s="87"/>
    </row>
    <row r="46" spans="1:4" ht="27.75" customHeight="1" x14ac:dyDescent="0.25">
      <c r="A46" s="101" t="s">
        <v>39</v>
      </c>
      <c r="B46" s="102" t="str">
        <f>IF(Basis!B3=0,"Inputs not complete",B47-SUM(B43:B45))</f>
        <v>Inputs not complete</v>
      </c>
      <c r="C46" s="102" t="str">
        <f>IF(Basis!B3=0,"Inputs not complete",C47-SUM(C43:C45))</f>
        <v>Inputs not complete</v>
      </c>
      <c r="D46" s="87"/>
    </row>
    <row r="47" spans="1:4" ht="27.75" customHeight="1" thickBot="1" x14ac:dyDescent="0.3">
      <c r="A47" s="103" t="s">
        <v>35</v>
      </c>
      <c r="B47" s="142" t="str">
        <f>IF(Basis!B3=0,"Inputs not complete",Liability)</f>
        <v>Inputs not complete</v>
      </c>
      <c r="C47" s="142" t="str">
        <f>IF(Basis!B3=0,"Inputs not complete",Liability_prev)</f>
        <v>Inputs not complete</v>
      </c>
      <c r="D47" s="87"/>
    </row>
    <row r="48" spans="1:4" x14ac:dyDescent="0.25">
      <c r="A48" s="88"/>
      <c r="B48" s="89"/>
      <c r="C48" s="89"/>
      <c r="D48" s="65"/>
    </row>
    <row r="49" spans="1:5" x14ac:dyDescent="0.25">
      <c r="A49" s="325" t="s">
        <v>95</v>
      </c>
      <c r="B49" s="326"/>
      <c r="C49" s="326"/>
      <c r="D49" s="326"/>
    </row>
    <row r="50" spans="1:5" x14ac:dyDescent="0.25"/>
    <row r="51" spans="1:5" ht="23.25" customHeight="1" x14ac:dyDescent="0.25">
      <c r="A51" s="313" t="s">
        <v>37</v>
      </c>
      <c r="B51" s="314"/>
      <c r="C51" s="314"/>
      <c r="D51" s="314"/>
    </row>
    <row r="52" spans="1:5" x14ac:dyDescent="0.25">
      <c r="A52" s="67"/>
      <c r="B52" s="65"/>
      <c r="C52" s="65"/>
      <c r="D52" s="65"/>
    </row>
    <row r="53" spans="1:5" ht="22.5" customHeight="1" thickBot="1" x14ac:dyDescent="0.3">
      <c r="A53" s="156" t="s">
        <v>0</v>
      </c>
      <c r="B53" s="86">
        <f>Accounting_date</f>
        <v>0</v>
      </c>
      <c r="C53" s="86" t="e">
        <f>EOMONTH(B53,-12)</f>
        <v>#NUM!</v>
      </c>
      <c r="D53" s="86" t="e">
        <f>EOMONTH(C53,-12)</f>
        <v>#NUM!</v>
      </c>
    </row>
    <row r="54" spans="1:5" ht="13.8" thickTop="1" x14ac:dyDescent="0.25">
      <c r="A54" s="96" t="s">
        <v>12</v>
      </c>
      <c r="B54" s="97" t="e">
        <f>DR</f>
        <v>#N/A</v>
      </c>
      <c r="C54" s="97" t="e">
        <f>DR_prev</f>
        <v>#NUM!</v>
      </c>
      <c r="D54" s="97" t="e">
        <f>DR_prev2</f>
        <v>#NUM!</v>
      </c>
      <c r="E54" s="42"/>
    </row>
    <row r="55" spans="1:5" ht="27" thickBot="1" x14ac:dyDescent="0.3">
      <c r="A55" s="98" t="s">
        <v>38</v>
      </c>
      <c r="B55" s="99" t="e">
        <f>Inflation</f>
        <v>#N/A</v>
      </c>
      <c r="C55" s="99" t="e">
        <f>Inflation_prev</f>
        <v>#NUM!</v>
      </c>
      <c r="D55" s="100" t="e">
        <f>Inflation_prev2</f>
        <v>#NUM!</v>
      </c>
      <c r="E55" s="42"/>
    </row>
    <row r="56" spans="1:5" x14ac:dyDescent="0.25">
      <c r="A56" s="15"/>
      <c r="B56" s="15"/>
      <c r="C56" s="15"/>
      <c r="D56" s="90"/>
    </row>
    <row r="57" spans="1:5" x14ac:dyDescent="0.25">
      <c r="D57" s="64"/>
    </row>
    <row r="58" spans="1:5" x14ac:dyDescent="0.25">
      <c r="A58" s="119" t="s">
        <v>96</v>
      </c>
      <c r="B58" s="120"/>
      <c r="C58" s="120"/>
      <c r="D58" s="121"/>
    </row>
    <row r="59" spans="1:5" ht="27.75" customHeight="1" x14ac:dyDescent="0.25">
      <c r="A59" s="322" t="s">
        <v>97</v>
      </c>
      <c r="B59" s="323"/>
      <c r="C59" s="323"/>
      <c r="D59" s="324"/>
    </row>
    <row r="60" spans="1:5" ht="27.75" customHeight="1" x14ac:dyDescent="0.25">
      <c r="A60" s="133"/>
      <c r="B60" s="134"/>
      <c r="C60" s="134"/>
      <c r="D60" s="135"/>
    </row>
    <row r="61" spans="1:5" ht="24.75" customHeight="1" x14ac:dyDescent="0.25">
      <c r="A61" s="330" t="s">
        <v>67</v>
      </c>
      <c r="B61" s="330"/>
      <c r="C61" s="330"/>
      <c r="D61" s="330"/>
    </row>
    <row r="62" spans="1:5" ht="189.75" customHeight="1" x14ac:dyDescent="0.25">
      <c r="A62" s="319" t="s">
        <v>142</v>
      </c>
      <c r="B62" s="320"/>
      <c r="C62" s="320"/>
      <c r="D62" s="321"/>
    </row>
    <row r="63" spans="1:5" hidden="1" x14ac:dyDescent="0.25">
      <c r="D63" s="34"/>
    </row>
    <row r="68" spans="1:4" hidden="1" x14ac:dyDescent="0.25">
      <c r="A68" s="15"/>
      <c r="B68" s="15"/>
      <c r="C68" s="15"/>
      <c r="D68" s="15"/>
    </row>
    <row r="69" spans="1:4" x14ac:dyDescent="0.25"/>
  </sheetData>
  <sheetProtection algorithmName="SHA-512" hashValue="0vI8NquoGa1o/QqiKtU+HytZf+TfZxQ+G7orb13KQ1ZXkkon/XtdKTtq3N43KsiP1xkCgMXcej8XAUO4uZbs8w==" saltValue="cfYo7k9KHtdUni18HLeZhQ==" spinCount="100000" sheet="1" formatCells="0" formatColumns="0" formatRows="0"/>
  <mergeCells count="25">
    <mergeCell ref="A17:D17"/>
    <mergeCell ref="A62:D62"/>
    <mergeCell ref="A35:D35"/>
    <mergeCell ref="A59:D59"/>
    <mergeCell ref="A49:D49"/>
    <mergeCell ref="A51:D51"/>
    <mergeCell ref="A39:D39"/>
    <mergeCell ref="A40:D40"/>
    <mergeCell ref="A36:D36"/>
    <mergeCell ref="A33:D33"/>
    <mergeCell ref="A34:D34"/>
    <mergeCell ref="A61:D61"/>
    <mergeCell ref="A37:D37"/>
    <mergeCell ref="A18:D18"/>
    <mergeCell ref="A11:D11"/>
    <mergeCell ref="A12:D12"/>
    <mergeCell ref="A13:D13"/>
    <mergeCell ref="A15:D15"/>
    <mergeCell ref="A16:D16"/>
    <mergeCell ref="A14:D14"/>
    <mergeCell ref="A1:D1"/>
    <mergeCell ref="A3:D3"/>
    <mergeCell ref="A9:D9"/>
    <mergeCell ref="A10:D10"/>
    <mergeCell ref="A5:D5"/>
  </mergeCells>
  <pageMargins left="0.7" right="0.7" top="0.75" bottom="0.75" header="0.3" footer="0.3"/>
  <pageSetup paperSize="9" scale="84" orientation="portrait" r:id="rId1"/>
  <headerFooter>
    <oddFooter>&amp;L&amp;"Arial,Regular"&amp;8
Page &amp;P of &amp;N&amp;R&amp;"Arial,Regular"&amp;8&amp;F[&amp;A]</oddFooter>
  </headerFooter>
  <rowBreaks count="3" manualBreakCount="3">
    <brk id="8" max="3" man="1"/>
    <brk id="38" max="3" man="1"/>
    <brk id="62" max="3" man="1"/>
  </rowBreaks>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
  <sheetViews>
    <sheetView zoomScaleNormal="100" workbookViewId="0">
      <selection activeCell="A15" sqref="A15:D15"/>
    </sheetView>
  </sheetViews>
  <sheetFormatPr defaultColWidth="9.109375" defaultRowHeight="13.2" x14ac:dyDescent="0.25"/>
  <cols>
    <col min="1" max="1" width="24.5546875" style="9" bestFit="1" customWidth="1"/>
    <col min="2" max="2" width="17.5546875" style="9" customWidth="1"/>
    <col min="3" max="3" width="21.88671875" style="9" bestFit="1" customWidth="1"/>
    <col min="4" max="4" width="10.109375" style="9" bestFit="1" customWidth="1"/>
    <col min="5" max="5" width="44.44140625" style="9" customWidth="1"/>
    <col min="6" max="6" width="11.88671875" style="9" customWidth="1"/>
    <col min="7" max="16384" width="9.109375" style="9"/>
  </cols>
  <sheetData>
    <row r="1" spans="1:5" x14ac:dyDescent="0.25">
      <c r="A1" s="9" t="s">
        <v>0</v>
      </c>
      <c r="B1" s="50">
        <f>Accounting_date</f>
        <v>0</v>
      </c>
    </row>
    <row r="3" spans="1:5" x14ac:dyDescent="0.25">
      <c r="A3" s="9" t="s">
        <v>72</v>
      </c>
      <c r="B3" s="104">
        <f>IF(AND(Inputs!C4="",Inputs!C6="",Inputs!B10="",Inputs!D14="",Inputs!D17="",Inputs!D18="",Inputs!D19="",Inputs!D20="",Inputs!D21="",Inputs!D22="",Inputs!D23="",Inputs!D24="",Inputs!D25="",Inputs!D26="",Inputs!D27="",Inputs!D28="",Inputs!G17="",Inputs!G18="",Inputs!G19="",Inputs!G20="",Inputs!G21="",Inputs!G22="",Inputs!G23="",Inputs!G24="",Inputs!G25="",Inputs!G26="",Inputs!G27="",Inputs!G28=""),1,0)</f>
        <v>0</v>
      </c>
    </row>
    <row r="5" spans="1:5" x14ac:dyDescent="0.25">
      <c r="B5" s="10">
        <f>Accounting_date</f>
        <v>0</v>
      </c>
      <c r="C5" s="10" t="e">
        <f>EOMONTH(B5,-12)</f>
        <v>#NUM!</v>
      </c>
      <c r="D5" s="10" t="e">
        <f>EOMONTH(C5,-12)</f>
        <v>#NUM!</v>
      </c>
    </row>
    <row r="6" spans="1:5" ht="18.75" customHeight="1" x14ac:dyDescent="0.25">
      <c r="A6" s="9" t="s">
        <v>12</v>
      </c>
      <c r="B6" s="49" t="e">
        <f>IF(Inputs!B38="",Inputs!B34,Inputs!B38)</f>
        <v>#N/A</v>
      </c>
      <c r="C6" s="49" t="e">
        <f>IF(Inputs!C38="",Inputs!C34,Inputs!C38)</f>
        <v>#NUM!</v>
      </c>
      <c r="D6" s="49" t="e">
        <f>IF(Inputs!D38="",Inputs!D34,Inputs!D38)</f>
        <v>#NUM!</v>
      </c>
      <c r="E6" s="333" t="s">
        <v>30</v>
      </c>
    </row>
    <row r="7" spans="1:5" ht="18.75" customHeight="1" x14ac:dyDescent="0.25">
      <c r="A7" s="9" t="s">
        <v>14</v>
      </c>
      <c r="B7" s="49" t="e">
        <f>IF(Inputs!B39="",Inputs!B35,Inputs!B39)</f>
        <v>#N/A</v>
      </c>
      <c r="C7" s="49" t="e">
        <f>IF(Inputs!C39="",Inputs!C35,Inputs!C39)</f>
        <v>#NUM!</v>
      </c>
      <c r="D7" s="49" t="e">
        <f>IF(Inputs!D39="",Inputs!D35,Inputs!D39)</f>
        <v>#NUM!</v>
      </c>
      <c r="E7" s="334"/>
    </row>
    <row r="10" spans="1:5" x14ac:dyDescent="0.25">
      <c r="A10" s="12" t="s">
        <v>16</v>
      </c>
      <c r="B10" s="14"/>
    </row>
    <row r="11" spans="1:5" x14ac:dyDescent="0.25">
      <c r="A11" s="54" t="s">
        <v>17</v>
      </c>
      <c r="B11" s="54" t="s">
        <v>25</v>
      </c>
      <c r="C11" s="42"/>
    </row>
    <row r="12" spans="1:5" x14ac:dyDescent="0.25">
      <c r="A12" s="48" t="s">
        <v>18</v>
      </c>
      <c r="B12" s="53">
        <v>0.06</v>
      </c>
      <c r="C12" s="42"/>
    </row>
    <row r="13" spans="1:5" x14ac:dyDescent="0.25">
      <c r="A13" s="46" t="s">
        <v>19</v>
      </c>
      <c r="B13" s="51">
        <v>7.0000000000000007E-2</v>
      </c>
      <c r="C13" s="42"/>
    </row>
    <row r="14" spans="1:5" x14ac:dyDescent="0.25">
      <c r="A14" s="46" t="s">
        <v>20</v>
      </c>
      <c r="B14" s="51">
        <v>0.08</v>
      </c>
      <c r="C14" s="42"/>
    </row>
    <row r="15" spans="1:5" x14ac:dyDescent="0.25">
      <c r="A15" s="46" t="s">
        <v>21</v>
      </c>
      <c r="B15" s="51">
        <v>0.09</v>
      </c>
      <c r="C15" s="42"/>
    </row>
    <row r="16" spans="1:5" x14ac:dyDescent="0.25">
      <c r="A16" s="46" t="s">
        <v>22</v>
      </c>
      <c r="B16" s="51">
        <v>0.1</v>
      </c>
      <c r="C16" s="42"/>
    </row>
    <row r="17" spans="1:6" x14ac:dyDescent="0.25">
      <c r="A17" s="46" t="s">
        <v>23</v>
      </c>
      <c r="B17" s="51">
        <v>0.11</v>
      </c>
      <c r="C17" s="42"/>
    </row>
    <row r="18" spans="1:6" x14ac:dyDescent="0.25">
      <c r="A18" s="47" t="s">
        <v>24</v>
      </c>
      <c r="B18" s="52">
        <v>0.12</v>
      </c>
      <c r="C18" s="42"/>
    </row>
    <row r="19" spans="1:6" x14ac:dyDescent="0.25">
      <c r="A19" s="55"/>
      <c r="B19" s="55"/>
      <c r="C19" s="14"/>
    </row>
    <row r="20" spans="1:6" x14ac:dyDescent="0.25">
      <c r="A20" s="56" t="s">
        <v>31</v>
      </c>
      <c r="B20" s="154" t="s">
        <v>150</v>
      </c>
      <c r="C20" s="154" t="s">
        <v>143</v>
      </c>
      <c r="D20" s="170" t="s">
        <v>135</v>
      </c>
      <c r="E20" s="54" t="s">
        <v>8</v>
      </c>
      <c r="F20" s="54" t="s">
        <v>9</v>
      </c>
    </row>
    <row r="21" spans="1:6" x14ac:dyDescent="0.25">
      <c r="A21" s="45" t="s">
        <v>32</v>
      </c>
      <c r="B21" s="261">
        <v>44104</v>
      </c>
      <c r="C21" s="261">
        <v>44013</v>
      </c>
      <c r="D21" s="171">
        <v>43203</v>
      </c>
      <c r="E21" s="57">
        <v>42096</v>
      </c>
      <c r="F21" s="57">
        <v>40998</v>
      </c>
    </row>
    <row r="22" spans="1:6" x14ac:dyDescent="0.25">
      <c r="A22" s="47" t="s">
        <v>33</v>
      </c>
      <c r="B22" s="155">
        <v>46203</v>
      </c>
      <c r="C22" s="155">
        <v>47118</v>
      </c>
      <c r="D22" s="172">
        <v>47118</v>
      </c>
      <c r="E22" s="58">
        <v>49490</v>
      </c>
      <c r="F22" s="58">
        <v>49309</v>
      </c>
    </row>
  </sheetData>
  <mergeCells count="1">
    <mergeCell ref="E6:E7"/>
  </mergeCells>
  <pageMargins left="0.7" right="0.7" top="0.75" bottom="0.75" header="0.3" footer="0.3"/>
  <pageSetup paperSize="9" scale="78" orientation="portrait" r:id="rId1"/>
  <headerFooter>
    <oddFooter>&amp;L&amp;"Arial,Regular"&amp;8ear &amp;D &amp;T
Lane Clark &amp;&amp; Peacock Page &amp;P of &amp;N&amp;R&amp;"Arial,Regular"&amp;8&amp;Z&amp;F[&amp;A]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59"/>
  <sheetViews>
    <sheetView zoomScale="70" zoomScaleNormal="70" workbookViewId="0">
      <selection activeCell="A15" sqref="A15:D15"/>
    </sheetView>
  </sheetViews>
  <sheetFormatPr defaultColWidth="9.109375" defaultRowHeight="13.2" x14ac:dyDescent="0.25"/>
  <cols>
    <col min="1" max="1" width="21.88671875" style="9" bestFit="1" customWidth="1"/>
    <col min="2" max="2" width="25" style="9" customWidth="1"/>
    <col min="3" max="3" width="15.6640625" style="9" customWidth="1"/>
    <col min="4" max="4" width="15.88671875" style="9" customWidth="1"/>
    <col min="5" max="5" width="16.109375" style="9" customWidth="1"/>
    <col min="6" max="7" width="13.88671875" style="9" customWidth="1"/>
    <col min="8" max="8" width="21.33203125" style="9" customWidth="1"/>
    <col min="9" max="9" width="22.88671875" style="162" customWidth="1"/>
    <col min="10" max="10" width="12.109375" style="162" customWidth="1"/>
    <col min="11" max="11" width="13.109375" style="9" customWidth="1"/>
    <col min="12" max="12" width="15.88671875" style="9" customWidth="1"/>
    <col min="13" max="13" width="13.109375" style="9" customWidth="1"/>
    <col min="14" max="14" width="20.6640625" style="9" bestFit="1" customWidth="1"/>
    <col min="15" max="15" width="10.44140625" style="9" customWidth="1"/>
    <col min="16" max="16" width="15.109375" style="9" bestFit="1" customWidth="1"/>
    <col min="17" max="17" width="17.5546875" style="9" bestFit="1" customWidth="1"/>
    <col min="18" max="18" width="26" style="9" bestFit="1" customWidth="1"/>
    <col min="19" max="19" width="17.88671875" style="9" customWidth="1"/>
    <col min="20" max="24" width="9.109375" style="9"/>
    <col min="25" max="25" width="12.6640625" style="9" customWidth="1"/>
    <col min="26" max="27" width="9.109375" style="9"/>
    <col min="28" max="34" width="15.6640625" style="9" customWidth="1"/>
    <col min="35" max="16384" width="9.109375" style="9"/>
  </cols>
  <sheetData>
    <row r="1" spans="1:19" x14ac:dyDescent="0.25">
      <c r="H1" s="42"/>
    </row>
    <row r="2" spans="1:19" x14ac:dyDescent="0.25">
      <c r="A2" s="160" t="s">
        <v>4</v>
      </c>
      <c r="B2" s="161">
        <f>Accounting_date</f>
        <v>0</v>
      </c>
      <c r="C2" s="161"/>
      <c r="D2" s="161"/>
      <c r="H2" s="183"/>
      <c r="I2" s="9"/>
      <c r="J2" s="9"/>
      <c r="Q2" s="10"/>
    </row>
    <row r="3" spans="1:19" x14ac:dyDescent="0.25">
      <c r="A3" s="162"/>
      <c r="B3" s="162"/>
      <c r="C3" s="241"/>
      <c r="D3" s="162"/>
      <c r="H3" s="183"/>
      <c r="I3" s="9"/>
      <c r="J3" s="9"/>
      <c r="Q3" s="25"/>
      <c r="R3" s="25"/>
    </row>
    <row r="4" spans="1:19" x14ac:dyDescent="0.25">
      <c r="A4" s="163" t="s">
        <v>136</v>
      </c>
      <c r="B4" s="164">
        <f>Basis!E21</f>
        <v>42096</v>
      </c>
      <c r="C4" s="225"/>
      <c r="D4" s="225"/>
      <c r="H4" s="183"/>
      <c r="I4" s="9"/>
      <c r="J4" s="10"/>
      <c r="P4" s="14"/>
      <c r="Q4" s="25"/>
      <c r="R4" s="25"/>
    </row>
    <row r="5" spans="1:19" x14ac:dyDescent="0.25">
      <c r="A5" s="163" t="s">
        <v>137</v>
      </c>
      <c r="B5" s="164">
        <f>Basis!D21</f>
        <v>43203</v>
      </c>
      <c r="C5" s="225"/>
      <c r="D5" s="225"/>
      <c r="H5" s="183"/>
      <c r="I5" s="9"/>
      <c r="J5" s="10"/>
      <c r="P5" s="14"/>
      <c r="Q5" s="25"/>
      <c r="R5" s="25"/>
    </row>
    <row r="6" spans="1:19" x14ac:dyDescent="0.25">
      <c r="A6" s="173" t="s">
        <v>143</v>
      </c>
      <c r="B6" s="153">
        <f>Basis!C21</f>
        <v>44013</v>
      </c>
      <c r="C6" s="208"/>
      <c r="D6" s="208"/>
      <c r="H6" s="183"/>
      <c r="I6" s="9"/>
      <c r="J6" s="10"/>
      <c r="P6" s="14"/>
      <c r="Q6" s="25"/>
      <c r="R6" s="25"/>
    </row>
    <row r="7" spans="1:19" x14ac:dyDescent="0.25">
      <c r="A7" s="173" t="s">
        <v>150</v>
      </c>
      <c r="B7" s="153">
        <f>Basis!B21</f>
        <v>44104</v>
      </c>
      <c r="C7" s="208"/>
      <c r="D7" s="208"/>
      <c r="H7" s="183"/>
      <c r="I7" s="9"/>
      <c r="J7" s="10"/>
      <c r="P7" s="14"/>
      <c r="Q7" s="25"/>
      <c r="R7" s="25"/>
    </row>
    <row r="8" spans="1:19" x14ac:dyDescent="0.25">
      <c r="A8" s="163"/>
      <c r="B8" s="163"/>
      <c r="C8" s="167"/>
      <c r="D8" s="167"/>
      <c r="H8" s="183"/>
      <c r="I8" s="9"/>
      <c r="M8" s="10">
        <v>42095</v>
      </c>
      <c r="P8" s="14"/>
      <c r="Q8" s="25"/>
      <c r="R8" s="25"/>
    </row>
    <row r="9" spans="1:19" x14ac:dyDescent="0.25">
      <c r="A9" s="160" t="s">
        <v>7</v>
      </c>
      <c r="B9" s="152" t="str">
        <f>IF(B2&gt;=B7, A7,IF(B2&gt;=B6,A6,IF(B2&gt;=B5,"2018 RP",IF(B2&gt;=B4,"2015 RP","2012 RP"))))</f>
        <v>2012 RP</v>
      </c>
      <c r="C9" s="207"/>
      <c r="D9" s="207"/>
      <c r="H9" s="183"/>
      <c r="I9" s="9"/>
      <c r="M9" s="10">
        <v>42369</v>
      </c>
      <c r="P9" s="14"/>
      <c r="Q9" s="32"/>
      <c r="R9" s="25"/>
      <c r="S9" s="10"/>
    </row>
    <row r="10" spans="1:19" x14ac:dyDescent="0.25">
      <c r="A10" s="160" t="s">
        <v>138</v>
      </c>
      <c r="B10" s="153">
        <f>IF(B9=A7, Basis!B22, IF(B9=A6, Basis!C22, IF(B9="2018 RP",Basis!D22,IF(B9="2015 RP",Basis!E22,Basis!F22))))</f>
        <v>49309</v>
      </c>
      <c r="C10" s="208"/>
      <c r="D10" s="208"/>
      <c r="H10" s="183"/>
      <c r="I10" s="9"/>
      <c r="M10" s="10"/>
      <c r="P10" s="14"/>
      <c r="Q10" s="32"/>
      <c r="R10" s="25"/>
      <c r="S10" s="10"/>
    </row>
    <row r="11" spans="1:19" ht="39.6" x14ac:dyDescent="0.25">
      <c r="A11" s="253" t="s">
        <v>155</v>
      </c>
      <c r="B11" s="165">
        <f>IF(AND(first_month&gt;=G14,first_month&lt;=G15),first_month_DRCs*2,first_month_DRCs)</f>
        <v>0</v>
      </c>
      <c r="C11" s="226" t="s">
        <v>154</v>
      </c>
      <c r="D11" s="165">
        <f>first_month_DRCs</f>
        <v>0</v>
      </c>
      <c r="H11" s="183"/>
      <c r="I11" s="9"/>
      <c r="L11" s="28" t="s">
        <v>15</v>
      </c>
      <c r="M11" s="29" t="str">
        <f>IF(AND($B$2&gt;$M$8,$B$2&lt;$M$9),"yes","no")</f>
        <v>no</v>
      </c>
    </row>
    <row r="12" spans="1:19" x14ac:dyDescent="0.25">
      <c r="A12" s="162" t="s">
        <v>12</v>
      </c>
      <c r="B12" s="166" t="e">
        <f>DR</f>
        <v>#N/A</v>
      </c>
      <c r="C12" s="227"/>
      <c r="D12" s="227"/>
      <c r="H12" s="183"/>
      <c r="I12" s="9"/>
      <c r="L12" s="9" t="s">
        <v>25</v>
      </c>
      <c r="M12" s="33">
        <f>percentage_cont</f>
        <v>0</v>
      </c>
      <c r="Q12" s="79"/>
    </row>
    <row r="13" spans="1:19" x14ac:dyDescent="0.25">
      <c r="A13" s="162" t="s">
        <v>14</v>
      </c>
      <c r="B13" s="166" t="e">
        <f>Inflation</f>
        <v>#N/A</v>
      </c>
      <c r="C13" s="227"/>
      <c r="D13" s="227"/>
      <c r="I13" s="9"/>
      <c r="L13" s="9" t="s">
        <v>29</v>
      </c>
      <c r="M13" s="33">
        <f>$M$12/0.11</f>
        <v>0</v>
      </c>
    </row>
    <row r="14" spans="1:19" x14ac:dyDescent="0.25">
      <c r="A14" s="14"/>
      <c r="B14" s="14"/>
      <c r="C14" s="14"/>
      <c r="D14" s="34"/>
      <c r="E14" s="173"/>
      <c r="F14" s="205"/>
      <c r="G14" s="206">
        <v>44013</v>
      </c>
      <c r="I14" s="14"/>
      <c r="J14" s="163"/>
      <c r="K14" s="14"/>
      <c r="L14" s="14"/>
      <c r="M14" s="14"/>
      <c r="N14" s="14"/>
      <c r="O14" s="14"/>
      <c r="P14" s="14"/>
      <c r="Q14" s="14"/>
      <c r="R14" s="14"/>
    </row>
    <row r="15" spans="1:19" s="25" customFormat="1" x14ac:dyDescent="0.25">
      <c r="A15" s="34"/>
      <c r="B15" s="34"/>
      <c r="C15" s="34"/>
      <c r="D15" s="34"/>
      <c r="E15" s="207"/>
      <c r="F15" s="207"/>
      <c r="G15" s="208">
        <v>44196</v>
      </c>
      <c r="I15" s="167"/>
      <c r="J15" s="167"/>
      <c r="K15" s="34"/>
      <c r="L15" s="35"/>
      <c r="M15" s="34"/>
      <c r="N15" s="34"/>
      <c r="O15" s="36"/>
      <c r="P15" s="34"/>
      <c r="Q15" s="34"/>
      <c r="R15" s="34"/>
    </row>
    <row r="16" spans="1:19" x14ac:dyDescent="0.25">
      <c r="A16" s="335" t="s">
        <v>150</v>
      </c>
      <c r="B16" s="336"/>
      <c r="C16" s="336"/>
      <c r="D16" s="337"/>
      <c r="E16" s="335" t="s">
        <v>143</v>
      </c>
      <c r="F16" s="336"/>
      <c r="G16" s="336"/>
      <c r="H16" s="337"/>
      <c r="I16" s="343" t="s">
        <v>135</v>
      </c>
      <c r="J16" s="344"/>
      <c r="K16" s="340" t="s">
        <v>8</v>
      </c>
      <c r="L16" s="341"/>
      <c r="M16" s="342"/>
      <c r="N16" s="338" t="s">
        <v>9</v>
      </c>
      <c r="O16" s="339"/>
      <c r="P16" s="31"/>
      <c r="Q16" s="31"/>
      <c r="R16" s="31"/>
    </row>
    <row r="17" spans="1:18" ht="39.6" x14ac:dyDescent="0.25">
      <c r="A17" s="209" t="s">
        <v>4</v>
      </c>
      <c r="B17" s="210" t="s">
        <v>27</v>
      </c>
      <c r="C17" s="231" t="s">
        <v>153</v>
      </c>
      <c r="D17" s="211" t="s">
        <v>144</v>
      </c>
      <c r="E17" s="209" t="s">
        <v>4</v>
      </c>
      <c r="F17" s="210" t="s">
        <v>27</v>
      </c>
      <c r="G17" s="231" t="s">
        <v>153</v>
      </c>
      <c r="H17" s="211" t="s">
        <v>144</v>
      </c>
      <c r="I17" s="184" t="s">
        <v>4</v>
      </c>
      <c r="J17" s="185" t="s">
        <v>27</v>
      </c>
      <c r="K17" s="40" t="s">
        <v>4</v>
      </c>
      <c r="L17" s="38" t="s">
        <v>27</v>
      </c>
      <c r="M17" s="39" t="s">
        <v>28</v>
      </c>
      <c r="N17" s="40" t="s">
        <v>26</v>
      </c>
      <c r="O17" s="38" t="s">
        <v>27</v>
      </c>
      <c r="P17" s="21" t="s">
        <v>6</v>
      </c>
      <c r="Q17" s="21" t="s">
        <v>10</v>
      </c>
      <c r="R17" s="21" t="s">
        <v>11</v>
      </c>
    </row>
    <row r="18" spans="1:18" x14ac:dyDescent="0.25">
      <c r="A18" s="181">
        <f>$B$2</f>
        <v>0</v>
      </c>
      <c r="B18" s="238" t="e">
        <f>IF(MONTH(B2)=12,$B$11*12,(($B$11*12)*(1-MONTH($B$2)/12))+(($B$11*12)*(1+$B$13)*(MONTH($B$2)/12)))</f>
        <v>#N/A</v>
      </c>
      <c r="C18" s="232">
        <f>MAX(0, (MIN(A18+365,$G$15)-MAX(A18,$G$14)))</f>
        <v>0</v>
      </c>
      <c r="D18" s="233" t="e">
        <f>B18*(1-50%*C18/365)</f>
        <v>#N/A</v>
      </c>
      <c r="E18" s="181">
        <f>$B$2</f>
        <v>0</v>
      </c>
      <c r="F18" s="238" t="e">
        <f>IF(MONTH(B2)=12,$B$11*12,(($B$11*12)*(1-MONTH($B$2)/12))+(($B$11*12)*(1+$B$13)*(MONTH($B$2)/12)))</f>
        <v>#N/A</v>
      </c>
      <c r="G18" s="232">
        <f>MAX(0, (MIN(E18+365,$G$15)-MAX(E18,$G$14)))</f>
        <v>0</v>
      </c>
      <c r="H18" s="233" t="e">
        <f>F18*(1-50%*G18/365)</f>
        <v>#N/A</v>
      </c>
      <c r="I18" s="188">
        <f>$B$2</f>
        <v>0</v>
      </c>
      <c r="J18" s="178" t="e">
        <f>IF(MONTH(B2)=12,$B$11*12,(($B$11*12)*(1-MONTH($B$2)/12))+(($B$11*12)*(1+$B$13)*(MONTH($B$2)/12)))</f>
        <v>#N/A</v>
      </c>
      <c r="K18" s="242">
        <f>$B$2</f>
        <v>0</v>
      </c>
      <c r="L18" s="243" t="e">
        <f>IF(MONTH(B2)=12,$B$11*12,(($B$11*12)*(1-MONTH($B$2)/12))+(($B$11*12)*(1+$B$13)*(MONTH($B$2)/12)))</f>
        <v>#N/A</v>
      </c>
      <c r="M18" s="27" t="e">
        <f>$L$18*($M$9-$K$18)/365+$L$18*(1-(($M$9-$K$18)/365))*$M$13</f>
        <v>#N/A</v>
      </c>
      <c r="N18" s="26">
        <f>$B$2</f>
        <v>0</v>
      </c>
      <c r="O18" s="146" t="e">
        <f>IF(MONTH(B2)=12,$B$11*12,(($B$11*12)*(1-MONTH($B$2)/12))+(($B$11*12)*(1+$B$13)*(MONTH($B$2)/12)))</f>
        <v>#N/A</v>
      </c>
      <c r="P18" s="189" t="e">
        <f>IF($B$9=$A$7, D18, IF($B$9=$A$6, H18, IF($B$9="2018 RP",J18,IF($B$9="2015 RP",IF($M$11="yes",M18,L18),O18))))</f>
        <v>#N/A</v>
      </c>
      <c r="Q18" s="149" t="e">
        <f>(1+$B$12)^-0.5</f>
        <v>#N/A</v>
      </c>
      <c r="R18" s="22" t="e">
        <f>P18*Q18</f>
        <v>#N/A</v>
      </c>
    </row>
    <row r="19" spans="1:18" x14ac:dyDescent="0.25">
      <c r="A19" s="182">
        <f>IF(EOMONTH(A18,12)&gt;Basis!$B$22,Basis!$B$22,EOMONTH(A18,12))</f>
        <v>397</v>
      </c>
      <c r="B19" s="239" t="e">
        <f>IF(A20=A19,0,B18*(1+$B$13))*(A20-A19)/365</f>
        <v>#N/A</v>
      </c>
      <c r="C19" s="234">
        <f t="shared" ref="C19:C42" si="0">MAX(0, (MIN(A19+365,$G$15)-MAX(A19,$G$14)))</f>
        <v>0</v>
      </c>
      <c r="D19" s="235" t="e">
        <f t="shared" ref="D19:D42" si="1">B19*(1-50%*C19/365)</f>
        <v>#N/A</v>
      </c>
      <c r="E19" s="182">
        <f>IF(EOMONTH(E18,12)&gt;Basis!$C$22,Basis!$C$22,EOMONTH(E18,12))</f>
        <v>397</v>
      </c>
      <c r="F19" s="239" t="e">
        <f t="shared" ref="F19:F42" si="2">IF(E20=E19,0,F18*(1+$B$13))*(E20-E19)/365</f>
        <v>#N/A</v>
      </c>
      <c r="G19" s="234">
        <f t="shared" ref="G19:G42" si="3">MAX(0, (MIN(E19+365,$G$15)-MAX(E19,$G$14)))</f>
        <v>0</v>
      </c>
      <c r="H19" s="235" t="e">
        <f t="shared" ref="H19:H42" si="4">F19*(1-50%*G19/365)</f>
        <v>#N/A</v>
      </c>
      <c r="I19" s="186">
        <f>IF(EOMONTH(I18,12)&gt;Basis!$D$22,Basis!$D$22,EOMONTH(I18,12))</f>
        <v>397</v>
      </c>
      <c r="J19" s="179" t="e">
        <f t="shared" ref="J19:J42" si="5">IF(I20=I19,0,J18*(1+$B$13))*(I20-I19)/365</f>
        <v>#N/A</v>
      </c>
      <c r="K19" s="244">
        <f>IF(EOMONTH(K18,12)&gt;Basis!$E$22,Basis!$E$22,EOMONTH(K18,12))</f>
        <v>397</v>
      </c>
      <c r="L19" s="245" t="e">
        <f t="shared" ref="L19:L42" si="6">IF(K20=K19,0,L18*(1+$B$13))*(K20-K19)/365</f>
        <v>#N/A</v>
      </c>
      <c r="M19" s="19" t="e">
        <f t="shared" ref="M19:M42" si="7">L19*$M$13</f>
        <v>#N/A</v>
      </c>
      <c r="N19" s="17">
        <f>IF(EOMONTH(N18,12)&gt;Basis!$F$22,Basis!$F$22,EOMONTH(N18,12))</f>
        <v>397</v>
      </c>
      <c r="O19" s="147" t="e">
        <f t="shared" ref="O19:O42" si="8">IF(N20=N19,0,O18*(1+$B$13))*(N20-N19)/365</f>
        <v>#N/A</v>
      </c>
      <c r="P19" s="191" t="e">
        <f t="shared" ref="P19:P42" si="9">IF($B$9=$A$7, D19, IF($B$9=$A$6, H19, IF($B$9="2018 RP",J19,IF($B$9="2015 RP",IF($M$11="yes",M19,L19),O19))))</f>
        <v>#N/A</v>
      </c>
      <c r="Q19" s="150" t="e">
        <f t="shared" ref="Q19:Q41" si="10">Q18*(1+$B$12)^-(0.5+(K20-K19)/2/365)</f>
        <v>#N/A</v>
      </c>
      <c r="R19" s="23" t="e">
        <f t="shared" ref="R19:R42" si="11">P19*Q19</f>
        <v>#N/A</v>
      </c>
    </row>
    <row r="20" spans="1:18" x14ac:dyDescent="0.25">
      <c r="A20" s="182">
        <f>IF(EOMONTH(A19,12)&gt;Basis!$B$22,Basis!$B$22,EOMONTH(A19,12))</f>
        <v>762</v>
      </c>
      <c r="B20" s="239" t="e">
        <f t="shared" ref="B20:B42" si="12">IF(A21=A20,0,B19*(1+$B$13))*(A21-A20)/365</f>
        <v>#N/A</v>
      </c>
      <c r="C20" s="234">
        <f t="shared" si="0"/>
        <v>0</v>
      </c>
      <c r="D20" s="235" t="e">
        <f t="shared" si="1"/>
        <v>#N/A</v>
      </c>
      <c r="E20" s="182">
        <f>IF(EOMONTH(E19,12)&gt;Basis!$C$22,Basis!$C$22,EOMONTH(E19,12))</f>
        <v>762</v>
      </c>
      <c r="F20" s="239" t="e">
        <f t="shared" si="2"/>
        <v>#N/A</v>
      </c>
      <c r="G20" s="234">
        <f t="shared" si="3"/>
        <v>0</v>
      </c>
      <c r="H20" s="235" t="e">
        <f t="shared" si="4"/>
        <v>#N/A</v>
      </c>
      <c r="I20" s="186">
        <f>IF(EOMONTH(I19,12)&gt;Basis!$D$22,Basis!$D$22,EOMONTH(I19,12))</f>
        <v>762</v>
      </c>
      <c r="J20" s="179" t="e">
        <f t="shared" si="5"/>
        <v>#N/A</v>
      </c>
      <c r="K20" s="244">
        <f>IF(EOMONTH(K19,12)&gt;Basis!$E$22,Basis!$E$22,EOMONTH(K19,12))</f>
        <v>762</v>
      </c>
      <c r="L20" s="245" t="e">
        <f t="shared" si="6"/>
        <v>#N/A</v>
      </c>
      <c r="M20" s="19" t="e">
        <f t="shared" si="7"/>
        <v>#N/A</v>
      </c>
      <c r="N20" s="17">
        <f>IF(EOMONTH(N19,12)&gt;Basis!$F$22,Basis!$F$22,EOMONTH(N19,12))</f>
        <v>762</v>
      </c>
      <c r="O20" s="147" t="e">
        <f t="shared" si="8"/>
        <v>#N/A</v>
      </c>
      <c r="P20" s="191" t="e">
        <f t="shared" si="9"/>
        <v>#N/A</v>
      </c>
      <c r="Q20" s="150" t="e">
        <f t="shared" si="10"/>
        <v>#N/A</v>
      </c>
      <c r="R20" s="23" t="e">
        <f t="shared" si="11"/>
        <v>#N/A</v>
      </c>
    </row>
    <row r="21" spans="1:18" x14ac:dyDescent="0.25">
      <c r="A21" s="182">
        <f>IF(EOMONTH(A20,12)&gt;Basis!$B$22,Basis!$B$22,EOMONTH(A20,12))</f>
        <v>1127</v>
      </c>
      <c r="B21" s="239" t="e">
        <f t="shared" si="12"/>
        <v>#N/A</v>
      </c>
      <c r="C21" s="234">
        <f t="shared" si="0"/>
        <v>0</v>
      </c>
      <c r="D21" s="235" t="e">
        <f t="shared" si="1"/>
        <v>#N/A</v>
      </c>
      <c r="E21" s="182">
        <f>IF(EOMONTH(E20,12)&gt;Basis!$C$22,Basis!$C$22,EOMONTH(E20,12))</f>
        <v>1127</v>
      </c>
      <c r="F21" s="239" t="e">
        <f t="shared" si="2"/>
        <v>#N/A</v>
      </c>
      <c r="G21" s="234">
        <f t="shared" si="3"/>
        <v>0</v>
      </c>
      <c r="H21" s="235" t="e">
        <f t="shared" si="4"/>
        <v>#N/A</v>
      </c>
      <c r="I21" s="186">
        <f>IF(EOMONTH(I20,12)&gt;Basis!$D$22,Basis!$D$22,EOMONTH(I20,12))</f>
        <v>1127</v>
      </c>
      <c r="J21" s="179" t="e">
        <f t="shared" si="5"/>
        <v>#N/A</v>
      </c>
      <c r="K21" s="244">
        <f>IF(EOMONTH(K20,12)&gt;Basis!$E$22,Basis!$E$22,EOMONTH(K20,12))</f>
        <v>1127</v>
      </c>
      <c r="L21" s="245" t="e">
        <f t="shared" si="6"/>
        <v>#N/A</v>
      </c>
      <c r="M21" s="19" t="e">
        <f t="shared" si="7"/>
        <v>#N/A</v>
      </c>
      <c r="N21" s="17">
        <f>IF(EOMONTH(N20,12)&gt;Basis!$F$22,Basis!$F$22,EOMONTH(N20,12))</f>
        <v>1127</v>
      </c>
      <c r="O21" s="147" t="e">
        <f t="shared" si="8"/>
        <v>#N/A</v>
      </c>
      <c r="P21" s="191" t="e">
        <f t="shared" si="9"/>
        <v>#N/A</v>
      </c>
      <c r="Q21" s="150" t="e">
        <f t="shared" si="10"/>
        <v>#N/A</v>
      </c>
      <c r="R21" s="23" t="e">
        <f t="shared" si="11"/>
        <v>#N/A</v>
      </c>
    </row>
    <row r="22" spans="1:18" x14ac:dyDescent="0.25">
      <c r="A22" s="182">
        <f>IF(EOMONTH(A21,12)&gt;Basis!$B$22,Basis!$B$22,EOMONTH(A21,12))</f>
        <v>1492</v>
      </c>
      <c r="B22" s="239" t="e">
        <f t="shared" si="12"/>
        <v>#N/A</v>
      </c>
      <c r="C22" s="234">
        <f t="shared" si="0"/>
        <v>0</v>
      </c>
      <c r="D22" s="235" t="e">
        <f t="shared" si="1"/>
        <v>#N/A</v>
      </c>
      <c r="E22" s="182">
        <f>IF(EOMONTH(E21,12)&gt;Basis!$C$22,Basis!$C$22,EOMONTH(E21,12))</f>
        <v>1492</v>
      </c>
      <c r="F22" s="239" t="e">
        <f t="shared" si="2"/>
        <v>#N/A</v>
      </c>
      <c r="G22" s="234">
        <f t="shared" si="3"/>
        <v>0</v>
      </c>
      <c r="H22" s="235" t="e">
        <f t="shared" si="4"/>
        <v>#N/A</v>
      </c>
      <c r="I22" s="186">
        <f>IF(EOMONTH(I21,12)&gt;Basis!$D$22,Basis!$D$22,EOMONTH(I21,12))</f>
        <v>1492</v>
      </c>
      <c r="J22" s="179" t="e">
        <f t="shared" si="5"/>
        <v>#N/A</v>
      </c>
      <c r="K22" s="244">
        <f>IF(EOMONTH(K21,12)&gt;Basis!$E$22,Basis!$E$22,EOMONTH(K21,12))</f>
        <v>1492</v>
      </c>
      <c r="L22" s="245" t="e">
        <f t="shared" si="6"/>
        <v>#N/A</v>
      </c>
      <c r="M22" s="19" t="e">
        <f t="shared" si="7"/>
        <v>#N/A</v>
      </c>
      <c r="N22" s="17">
        <f>IF(EOMONTH(N21,12)&gt;Basis!$F$22,Basis!$F$22,EOMONTH(N21,12))</f>
        <v>1492</v>
      </c>
      <c r="O22" s="147" t="e">
        <f t="shared" si="8"/>
        <v>#N/A</v>
      </c>
      <c r="P22" s="191" t="e">
        <f t="shared" si="9"/>
        <v>#N/A</v>
      </c>
      <c r="Q22" s="150" t="e">
        <f t="shared" si="10"/>
        <v>#N/A</v>
      </c>
      <c r="R22" s="23" t="e">
        <f t="shared" si="11"/>
        <v>#N/A</v>
      </c>
    </row>
    <row r="23" spans="1:18" x14ac:dyDescent="0.25">
      <c r="A23" s="182">
        <f>IF(EOMONTH(A22,12)&gt;Basis!$B$22,Basis!$B$22,EOMONTH(A22,12))</f>
        <v>1858</v>
      </c>
      <c r="B23" s="239" t="e">
        <f t="shared" si="12"/>
        <v>#N/A</v>
      </c>
      <c r="C23" s="234">
        <f t="shared" si="0"/>
        <v>0</v>
      </c>
      <c r="D23" s="235" t="e">
        <f t="shared" si="1"/>
        <v>#N/A</v>
      </c>
      <c r="E23" s="182">
        <f>IF(EOMONTH(E22,12)&gt;Basis!$C$22,Basis!$C$22,EOMONTH(E22,12))</f>
        <v>1858</v>
      </c>
      <c r="F23" s="239" t="e">
        <f t="shared" si="2"/>
        <v>#N/A</v>
      </c>
      <c r="G23" s="234">
        <f t="shared" si="3"/>
        <v>0</v>
      </c>
      <c r="H23" s="235" t="e">
        <f t="shared" si="4"/>
        <v>#N/A</v>
      </c>
      <c r="I23" s="186">
        <f>IF(EOMONTH(I22,12)&gt;Basis!$D$22,Basis!$D$22,EOMONTH(I22,12))</f>
        <v>1858</v>
      </c>
      <c r="J23" s="179" t="e">
        <f t="shared" si="5"/>
        <v>#N/A</v>
      </c>
      <c r="K23" s="244">
        <f>IF(EOMONTH(K22,12)&gt;Basis!$E$22,Basis!$E$22,EOMONTH(K22,12))</f>
        <v>1858</v>
      </c>
      <c r="L23" s="245" t="e">
        <f t="shared" si="6"/>
        <v>#N/A</v>
      </c>
      <c r="M23" s="19" t="e">
        <f t="shared" si="7"/>
        <v>#N/A</v>
      </c>
      <c r="N23" s="17">
        <f>IF(EOMONTH(N22,12)&gt;Basis!$F$22,Basis!$F$22,EOMONTH(N22,12))</f>
        <v>1858</v>
      </c>
      <c r="O23" s="147" t="e">
        <f t="shared" si="8"/>
        <v>#N/A</v>
      </c>
      <c r="P23" s="191" t="e">
        <f t="shared" si="9"/>
        <v>#N/A</v>
      </c>
      <c r="Q23" s="150" t="e">
        <f t="shared" si="10"/>
        <v>#N/A</v>
      </c>
      <c r="R23" s="23" t="e">
        <f t="shared" si="11"/>
        <v>#N/A</v>
      </c>
    </row>
    <row r="24" spans="1:18" x14ac:dyDescent="0.25">
      <c r="A24" s="182">
        <f>IF(EOMONTH(A23,12)&gt;Basis!$B$22,Basis!$B$22,EOMONTH(A23,12))</f>
        <v>2223</v>
      </c>
      <c r="B24" s="239" t="e">
        <f t="shared" si="12"/>
        <v>#N/A</v>
      </c>
      <c r="C24" s="234">
        <f t="shared" si="0"/>
        <v>0</v>
      </c>
      <c r="D24" s="235" t="e">
        <f t="shared" si="1"/>
        <v>#N/A</v>
      </c>
      <c r="E24" s="182">
        <f>IF(EOMONTH(E23,12)&gt;Basis!$C$22,Basis!$C$22,EOMONTH(E23,12))</f>
        <v>2223</v>
      </c>
      <c r="F24" s="239" t="e">
        <f t="shared" si="2"/>
        <v>#N/A</v>
      </c>
      <c r="G24" s="234">
        <f t="shared" si="3"/>
        <v>0</v>
      </c>
      <c r="H24" s="235" t="e">
        <f t="shared" si="4"/>
        <v>#N/A</v>
      </c>
      <c r="I24" s="186">
        <f>IF(EOMONTH(I23,12)&gt;Basis!$D$22,Basis!$D$22,EOMONTH(I23,12))</f>
        <v>2223</v>
      </c>
      <c r="J24" s="179" t="e">
        <f t="shared" si="5"/>
        <v>#N/A</v>
      </c>
      <c r="K24" s="244">
        <f>IF(EOMONTH(K23,12)&gt;Basis!$E$22,Basis!$E$22,EOMONTH(K23,12))</f>
        <v>2223</v>
      </c>
      <c r="L24" s="245" t="e">
        <f t="shared" si="6"/>
        <v>#N/A</v>
      </c>
      <c r="M24" s="19" t="e">
        <f t="shared" si="7"/>
        <v>#N/A</v>
      </c>
      <c r="N24" s="17">
        <f>IF(EOMONTH(N23,12)&gt;Basis!$F$22,Basis!$F$22,EOMONTH(N23,12))</f>
        <v>2223</v>
      </c>
      <c r="O24" s="147" t="e">
        <f t="shared" si="8"/>
        <v>#N/A</v>
      </c>
      <c r="P24" s="191" t="e">
        <f t="shared" si="9"/>
        <v>#N/A</v>
      </c>
      <c r="Q24" s="150" t="e">
        <f t="shared" si="10"/>
        <v>#N/A</v>
      </c>
      <c r="R24" s="23" t="e">
        <f t="shared" si="11"/>
        <v>#N/A</v>
      </c>
    </row>
    <row r="25" spans="1:18" x14ac:dyDescent="0.25">
      <c r="A25" s="182">
        <f>IF(EOMONTH(A24,12)&gt;Basis!$B$22,Basis!$B$22,EOMONTH(A24,12))</f>
        <v>2588</v>
      </c>
      <c r="B25" s="239" t="e">
        <f t="shared" si="12"/>
        <v>#N/A</v>
      </c>
      <c r="C25" s="234">
        <f t="shared" si="0"/>
        <v>0</v>
      </c>
      <c r="D25" s="235" t="e">
        <f t="shared" si="1"/>
        <v>#N/A</v>
      </c>
      <c r="E25" s="182">
        <f>IF(EOMONTH(E24,12)&gt;Basis!$C$22,Basis!$C$22,EOMONTH(E24,12))</f>
        <v>2588</v>
      </c>
      <c r="F25" s="239" t="e">
        <f t="shared" si="2"/>
        <v>#N/A</v>
      </c>
      <c r="G25" s="234">
        <f t="shared" si="3"/>
        <v>0</v>
      </c>
      <c r="H25" s="235" t="e">
        <f t="shared" si="4"/>
        <v>#N/A</v>
      </c>
      <c r="I25" s="186">
        <f>IF(EOMONTH(I24,12)&gt;Basis!$D$22,Basis!$D$22,EOMONTH(I24,12))</f>
        <v>2588</v>
      </c>
      <c r="J25" s="179" t="e">
        <f t="shared" si="5"/>
        <v>#N/A</v>
      </c>
      <c r="K25" s="244">
        <f>IF(EOMONTH(K24,12)&gt;Basis!$E$22,Basis!$E$22,EOMONTH(K24,12))</f>
        <v>2588</v>
      </c>
      <c r="L25" s="245" t="e">
        <f t="shared" si="6"/>
        <v>#N/A</v>
      </c>
      <c r="M25" s="19" t="e">
        <f t="shared" si="7"/>
        <v>#N/A</v>
      </c>
      <c r="N25" s="17">
        <f>IF(EOMONTH(N24,12)&gt;Basis!$F$22,Basis!$F$22,EOMONTH(N24,12))</f>
        <v>2588</v>
      </c>
      <c r="O25" s="147" t="e">
        <f t="shared" si="8"/>
        <v>#N/A</v>
      </c>
      <c r="P25" s="191" t="e">
        <f t="shared" si="9"/>
        <v>#N/A</v>
      </c>
      <c r="Q25" s="150" t="e">
        <f t="shared" si="10"/>
        <v>#N/A</v>
      </c>
      <c r="R25" s="23" t="e">
        <f t="shared" si="11"/>
        <v>#N/A</v>
      </c>
    </row>
    <row r="26" spans="1:18" x14ac:dyDescent="0.25">
      <c r="A26" s="182">
        <f>IF(EOMONTH(A25,12)&gt;Basis!$B$22,Basis!$B$22,EOMONTH(A25,12))</f>
        <v>2953</v>
      </c>
      <c r="B26" s="239" t="e">
        <f t="shared" si="12"/>
        <v>#N/A</v>
      </c>
      <c r="C26" s="234">
        <f t="shared" si="0"/>
        <v>0</v>
      </c>
      <c r="D26" s="235" t="e">
        <f t="shared" si="1"/>
        <v>#N/A</v>
      </c>
      <c r="E26" s="182">
        <f>IF(EOMONTH(E25,12)&gt;Basis!$C$22,Basis!$C$22,EOMONTH(E25,12))</f>
        <v>2953</v>
      </c>
      <c r="F26" s="239" t="e">
        <f t="shared" si="2"/>
        <v>#N/A</v>
      </c>
      <c r="G26" s="234">
        <f t="shared" si="3"/>
        <v>0</v>
      </c>
      <c r="H26" s="235" t="e">
        <f t="shared" si="4"/>
        <v>#N/A</v>
      </c>
      <c r="I26" s="186">
        <f>IF(EOMONTH(I25,12)&gt;Basis!$D$22,Basis!$D$22,EOMONTH(I25,12))</f>
        <v>2953</v>
      </c>
      <c r="J26" s="179" t="e">
        <f t="shared" si="5"/>
        <v>#N/A</v>
      </c>
      <c r="K26" s="244">
        <f>IF(EOMONTH(K25,12)&gt;Basis!$E$22,Basis!$E$22,EOMONTH(K25,12))</f>
        <v>2953</v>
      </c>
      <c r="L26" s="245" t="e">
        <f t="shared" si="6"/>
        <v>#N/A</v>
      </c>
      <c r="M26" s="19" t="e">
        <f t="shared" si="7"/>
        <v>#N/A</v>
      </c>
      <c r="N26" s="17">
        <f>IF(EOMONTH(N25,12)&gt;Basis!$F$22,Basis!$F$22,EOMONTH(N25,12))</f>
        <v>2953</v>
      </c>
      <c r="O26" s="147" t="e">
        <f t="shared" si="8"/>
        <v>#N/A</v>
      </c>
      <c r="P26" s="191" t="e">
        <f t="shared" si="9"/>
        <v>#N/A</v>
      </c>
      <c r="Q26" s="150" t="e">
        <f t="shared" si="10"/>
        <v>#N/A</v>
      </c>
      <c r="R26" s="23" t="e">
        <f t="shared" si="11"/>
        <v>#N/A</v>
      </c>
    </row>
    <row r="27" spans="1:18" x14ac:dyDescent="0.25">
      <c r="A27" s="182">
        <f>IF(EOMONTH(A26,12)&gt;Basis!$B$22,Basis!$B$22,EOMONTH(A26,12))</f>
        <v>3319</v>
      </c>
      <c r="B27" s="239" t="e">
        <f t="shared" si="12"/>
        <v>#N/A</v>
      </c>
      <c r="C27" s="234">
        <f t="shared" si="0"/>
        <v>0</v>
      </c>
      <c r="D27" s="235" t="e">
        <f t="shared" si="1"/>
        <v>#N/A</v>
      </c>
      <c r="E27" s="182">
        <f>IF(EOMONTH(E26,12)&gt;Basis!$C$22,Basis!$C$22,EOMONTH(E26,12))</f>
        <v>3319</v>
      </c>
      <c r="F27" s="239" t="e">
        <f t="shared" si="2"/>
        <v>#N/A</v>
      </c>
      <c r="G27" s="234">
        <f t="shared" si="3"/>
        <v>0</v>
      </c>
      <c r="H27" s="235" t="e">
        <f t="shared" si="4"/>
        <v>#N/A</v>
      </c>
      <c r="I27" s="186">
        <f>IF(EOMONTH(I26,12)&gt;Basis!$D$22,Basis!$D$22,EOMONTH(I26,12))</f>
        <v>3319</v>
      </c>
      <c r="J27" s="179" t="e">
        <f t="shared" si="5"/>
        <v>#N/A</v>
      </c>
      <c r="K27" s="244">
        <f>IF(EOMONTH(K26,12)&gt;Basis!$E$22,Basis!$E$22,EOMONTH(K26,12))</f>
        <v>3319</v>
      </c>
      <c r="L27" s="245" t="e">
        <f t="shared" si="6"/>
        <v>#N/A</v>
      </c>
      <c r="M27" s="19" t="e">
        <f t="shared" si="7"/>
        <v>#N/A</v>
      </c>
      <c r="N27" s="17">
        <f>IF(EOMONTH(N26,12)&gt;Basis!$F$22,Basis!$F$22,EOMONTH(N26,12))</f>
        <v>3319</v>
      </c>
      <c r="O27" s="147" t="e">
        <f t="shared" si="8"/>
        <v>#N/A</v>
      </c>
      <c r="P27" s="191" t="e">
        <f t="shared" si="9"/>
        <v>#N/A</v>
      </c>
      <c r="Q27" s="150" t="e">
        <f t="shared" si="10"/>
        <v>#N/A</v>
      </c>
      <c r="R27" s="23" t="e">
        <f t="shared" si="11"/>
        <v>#N/A</v>
      </c>
    </row>
    <row r="28" spans="1:18" x14ac:dyDescent="0.25">
      <c r="A28" s="182">
        <f>IF(EOMONTH(A27,12)&gt;Basis!$B$22,Basis!$B$22,EOMONTH(A27,12))</f>
        <v>3684</v>
      </c>
      <c r="B28" s="239" t="e">
        <f t="shared" si="12"/>
        <v>#N/A</v>
      </c>
      <c r="C28" s="234">
        <f t="shared" si="0"/>
        <v>0</v>
      </c>
      <c r="D28" s="235" t="e">
        <f t="shared" si="1"/>
        <v>#N/A</v>
      </c>
      <c r="E28" s="182">
        <f>IF(EOMONTH(E27,12)&gt;Basis!$C$22,Basis!$C$22,EOMONTH(E27,12))</f>
        <v>3684</v>
      </c>
      <c r="F28" s="239" t="e">
        <f t="shared" si="2"/>
        <v>#N/A</v>
      </c>
      <c r="G28" s="234">
        <f t="shared" si="3"/>
        <v>0</v>
      </c>
      <c r="H28" s="235" t="e">
        <f t="shared" si="4"/>
        <v>#N/A</v>
      </c>
      <c r="I28" s="186">
        <f>IF(EOMONTH(I27,12)&gt;Basis!$D$22,Basis!$D$22,EOMONTH(I27,12))</f>
        <v>3684</v>
      </c>
      <c r="J28" s="179" t="e">
        <f t="shared" si="5"/>
        <v>#N/A</v>
      </c>
      <c r="K28" s="244">
        <f>IF(EOMONTH(K27,12)&gt;Basis!$E$22,Basis!$E$22,EOMONTH(K27,12))</f>
        <v>3684</v>
      </c>
      <c r="L28" s="245" t="e">
        <f t="shared" si="6"/>
        <v>#N/A</v>
      </c>
      <c r="M28" s="19" t="e">
        <f t="shared" si="7"/>
        <v>#N/A</v>
      </c>
      <c r="N28" s="17">
        <f>IF(EOMONTH(N27,12)&gt;Basis!$F$22,Basis!$F$22,EOMONTH(N27,12))</f>
        <v>3684</v>
      </c>
      <c r="O28" s="147" t="e">
        <f t="shared" si="8"/>
        <v>#N/A</v>
      </c>
      <c r="P28" s="191" t="e">
        <f t="shared" si="9"/>
        <v>#N/A</v>
      </c>
      <c r="Q28" s="150" t="e">
        <f t="shared" si="10"/>
        <v>#N/A</v>
      </c>
      <c r="R28" s="23" t="e">
        <f t="shared" si="11"/>
        <v>#N/A</v>
      </c>
    </row>
    <row r="29" spans="1:18" x14ac:dyDescent="0.25">
      <c r="A29" s="182">
        <f>IF(EOMONTH(A28,12)&gt;Basis!$B$22,Basis!$B$22,EOMONTH(A28,12))</f>
        <v>4049</v>
      </c>
      <c r="B29" s="239" t="e">
        <f t="shared" si="12"/>
        <v>#N/A</v>
      </c>
      <c r="C29" s="234">
        <f t="shared" si="0"/>
        <v>0</v>
      </c>
      <c r="D29" s="235" t="e">
        <f t="shared" si="1"/>
        <v>#N/A</v>
      </c>
      <c r="E29" s="182">
        <f>IF(EOMONTH(E28,12)&gt;Basis!$C$22,Basis!$C$22,EOMONTH(E28,12))</f>
        <v>4049</v>
      </c>
      <c r="F29" s="239" t="e">
        <f t="shared" si="2"/>
        <v>#N/A</v>
      </c>
      <c r="G29" s="234">
        <f t="shared" si="3"/>
        <v>0</v>
      </c>
      <c r="H29" s="235" t="e">
        <f t="shared" si="4"/>
        <v>#N/A</v>
      </c>
      <c r="I29" s="186">
        <f>IF(EOMONTH(I28,12)&gt;Basis!$D$22,Basis!$D$22,EOMONTH(I28,12))</f>
        <v>4049</v>
      </c>
      <c r="J29" s="179" t="e">
        <f t="shared" si="5"/>
        <v>#N/A</v>
      </c>
      <c r="K29" s="244">
        <f>IF(EOMONTH(K28,12)&gt;Basis!$E$22,Basis!$E$22,EOMONTH(K28,12))</f>
        <v>4049</v>
      </c>
      <c r="L29" s="245" t="e">
        <f t="shared" si="6"/>
        <v>#N/A</v>
      </c>
      <c r="M29" s="19" t="e">
        <f t="shared" si="7"/>
        <v>#N/A</v>
      </c>
      <c r="N29" s="17">
        <f>IF(EOMONTH(N28,12)&gt;Basis!$F$22,Basis!$F$22,EOMONTH(N28,12))</f>
        <v>4049</v>
      </c>
      <c r="O29" s="147" t="e">
        <f t="shared" si="8"/>
        <v>#N/A</v>
      </c>
      <c r="P29" s="191" t="e">
        <f t="shared" si="9"/>
        <v>#N/A</v>
      </c>
      <c r="Q29" s="150" t="e">
        <f t="shared" si="10"/>
        <v>#N/A</v>
      </c>
      <c r="R29" s="23" t="e">
        <f t="shared" si="11"/>
        <v>#N/A</v>
      </c>
    </row>
    <row r="30" spans="1:18" x14ac:dyDescent="0.25">
      <c r="A30" s="182">
        <f>IF(EOMONTH(A29,12)&gt;Basis!$B$22,Basis!$B$22,EOMONTH(A29,12))</f>
        <v>4414</v>
      </c>
      <c r="B30" s="239" t="e">
        <f t="shared" si="12"/>
        <v>#N/A</v>
      </c>
      <c r="C30" s="234">
        <f t="shared" si="0"/>
        <v>0</v>
      </c>
      <c r="D30" s="235" t="e">
        <f t="shared" si="1"/>
        <v>#N/A</v>
      </c>
      <c r="E30" s="182">
        <f>IF(EOMONTH(E29,12)&gt;Basis!$C$22,Basis!$C$22,EOMONTH(E29,12))</f>
        <v>4414</v>
      </c>
      <c r="F30" s="239" t="e">
        <f t="shared" si="2"/>
        <v>#N/A</v>
      </c>
      <c r="G30" s="234">
        <f t="shared" si="3"/>
        <v>0</v>
      </c>
      <c r="H30" s="235" t="e">
        <f t="shared" si="4"/>
        <v>#N/A</v>
      </c>
      <c r="I30" s="186">
        <f>IF(EOMONTH(I29,12)&gt;Basis!$D$22,Basis!$D$22,EOMONTH(I29,12))</f>
        <v>4414</v>
      </c>
      <c r="J30" s="179" t="e">
        <f t="shared" si="5"/>
        <v>#N/A</v>
      </c>
      <c r="K30" s="244">
        <f>IF(EOMONTH(K29,12)&gt;Basis!$E$22,Basis!$E$22,EOMONTH(K29,12))</f>
        <v>4414</v>
      </c>
      <c r="L30" s="245" t="e">
        <f t="shared" si="6"/>
        <v>#N/A</v>
      </c>
      <c r="M30" s="19" t="e">
        <f t="shared" si="7"/>
        <v>#N/A</v>
      </c>
      <c r="N30" s="17">
        <f>IF(EOMONTH(N29,12)&gt;Basis!$F$22,Basis!$F$22,EOMONTH(N29,12))</f>
        <v>4414</v>
      </c>
      <c r="O30" s="147" t="e">
        <f t="shared" si="8"/>
        <v>#N/A</v>
      </c>
      <c r="P30" s="191" t="e">
        <f t="shared" si="9"/>
        <v>#N/A</v>
      </c>
      <c r="Q30" s="150" t="e">
        <f t="shared" si="10"/>
        <v>#N/A</v>
      </c>
      <c r="R30" s="23" t="e">
        <f t="shared" si="11"/>
        <v>#N/A</v>
      </c>
    </row>
    <row r="31" spans="1:18" x14ac:dyDescent="0.25">
      <c r="A31" s="182">
        <f>IF(EOMONTH(A30,12)&gt;Basis!$B$22,Basis!$B$22,EOMONTH(A30,12))</f>
        <v>4780</v>
      </c>
      <c r="B31" s="239" t="e">
        <f t="shared" si="12"/>
        <v>#N/A</v>
      </c>
      <c r="C31" s="234">
        <f t="shared" si="0"/>
        <v>0</v>
      </c>
      <c r="D31" s="235" t="e">
        <f t="shared" si="1"/>
        <v>#N/A</v>
      </c>
      <c r="E31" s="182">
        <f>IF(EOMONTH(E30,12)&gt;Basis!$C$22,Basis!$C$22,EOMONTH(E30,12))</f>
        <v>4780</v>
      </c>
      <c r="F31" s="239" t="e">
        <f t="shared" si="2"/>
        <v>#N/A</v>
      </c>
      <c r="G31" s="234">
        <f t="shared" si="3"/>
        <v>0</v>
      </c>
      <c r="H31" s="235" t="e">
        <f t="shared" si="4"/>
        <v>#N/A</v>
      </c>
      <c r="I31" s="186">
        <f>IF(EOMONTH(I30,12)&gt;Basis!$D$22,Basis!$D$22,EOMONTH(I30,12))</f>
        <v>4780</v>
      </c>
      <c r="J31" s="179" t="e">
        <f t="shared" si="5"/>
        <v>#N/A</v>
      </c>
      <c r="K31" s="244">
        <f>IF(EOMONTH(K30,12)&gt;Basis!$E$22,Basis!$E$22,EOMONTH(K30,12))</f>
        <v>4780</v>
      </c>
      <c r="L31" s="245" t="e">
        <f t="shared" si="6"/>
        <v>#N/A</v>
      </c>
      <c r="M31" s="19" t="e">
        <f t="shared" si="7"/>
        <v>#N/A</v>
      </c>
      <c r="N31" s="17">
        <f>IF(EOMONTH(N30,12)&gt;Basis!$F$22,Basis!$F$22,EOMONTH(N30,12))</f>
        <v>4780</v>
      </c>
      <c r="O31" s="147" t="e">
        <f t="shared" si="8"/>
        <v>#N/A</v>
      </c>
      <c r="P31" s="191" t="e">
        <f t="shared" si="9"/>
        <v>#N/A</v>
      </c>
      <c r="Q31" s="150" t="e">
        <f t="shared" si="10"/>
        <v>#N/A</v>
      </c>
      <c r="R31" s="23" t="e">
        <f t="shared" si="11"/>
        <v>#N/A</v>
      </c>
    </row>
    <row r="32" spans="1:18" x14ac:dyDescent="0.25">
      <c r="A32" s="182">
        <f>IF(EOMONTH(A31,12)&gt;Basis!$B$22,Basis!$B$22,EOMONTH(A31,12))</f>
        <v>5145</v>
      </c>
      <c r="B32" s="239" t="e">
        <f t="shared" si="12"/>
        <v>#N/A</v>
      </c>
      <c r="C32" s="234">
        <f t="shared" si="0"/>
        <v>0</v>
      </c>
      <c r="D32" s="235" t="e">
        <f t="shared" si="1"/>
        <v>#N/A</v>
      </c>
      <c r="E32" s="182">
        <f>IF(EOMONTH(E31,12)&gt;Basis!$C$22,Basis!$C$22,EOMONTH(E31,12))</f>
        <v>5145</v>
      </c>
      <c r="F32" s="239" t="e">
        <f t="shared" si="2"/>
        <v>#N/A</v>
      </c>
      <c r="G32" s="234">
        <f t="shared" si="3"/>
        <v>0</v>
      </c>
      <c r="H32" s="235" t="e">
        <f t="shared" si="4"/>
        <v>#N/A</v>
      </c>
      <c r="I32" s="186">
        <f>IF(EOMONTH(I31,12)&gt;Basis!$D$22,Basis!$D$22,EOMONTH(I31,12))</f>
        <v>5145</v>
      </c>
      <c r="J32" s="179" t="e">
        <f t="shared" si="5"/>
        <v>#N/A</v>
      </c>
      <c r="K32" s="244">
        <f>IF(EOMONTH(K31,12)&gt;Basis!$E$22,Basis!$E$22,EOMONTH(K31,12))</f>
        <v>5145</v>
      </c>
      <c r="L32" s="245" t="e">
        <f t="shared" si="6"/>
        <v>#N/A</v>
      </c>
      <c r="M32" s="19" t="e">
        <f t="shared" si="7"/>
        <v>#N/A</v>
      </c>
      <c r="N32" s="17">
        <f>IF(EOMONTH(N31,12)&gt;Basis!$F$22,Basis!$F$22,EOMONTH(N31,12))</f>
        <v>5145</v>
      </c>
      <c r="O32" s="147" t="e">
        <f t="shared" si="8"/>
        <v>#N/A</v>
      </c>
      <c r="P32" s="191" t="e">
        <f t="shared" si="9"/>
        <v>#N/A</v>
      </c>
      <c r="Q32" s="150" t="e">
        <f t="shared" si="10"/>
        <v>#N/A</v>
      </c>
      <c r="R32" s="23" t="e">
        <f t="shared" si="11"/>
        <v>#N/A</v>
      </c>
    </row>
    <row r="33" spans="1:19" x14ac:dyDescent="0.25">
      <c r="A33" s="182">
        <f>IF(EOMONTH(A32,12)&gt;Basis!$B$22,Basis!$B$22,EOMONTH(A32,12))</f>
        <v>5510</v>
      </c>
      <c r="B33" s="239" t="e">
        <f t="shared" si="12"/>
        <v>#N/A</v>
      </c>
      <c r="C33" s="234">
        <f t="shared" si="0"/>
        <v>0</v>
      </c>
      <c r="D33" s="235" t="e">
        <f t="shared" si="1"/>
        <v>#N/A</v>
      </c>
      <c r="E33" s="182">
        <f>IF(EOMONTH(E32,12)&gt;Basis!$C$22,Basis!$C$22,EOMONTH(E32,12))</f>
        <v>5510</v>
      </c>
      <c r="F33" s="239" t="e">
        <f t="shared" si="2"/>
        <v>#N/A</v>
      </c>
      <c r="G33" s="234">
        <f t="shared" si="3"/>
        <v>0</v>
      </c>
      <c r="H33" s="235" t="e">
        <f t="shared" si="4"/>
        <v>#N/A</v>
      </c>
      <c r="I33" s="186">
        <f>IF(EOMONTH(I32,12)&gt;Basis!$D$22,Basis!$D$22,EOMONTH(I32,12))</f>
        <v>5510</v>
      </c>
      <c r="J33" s="179" t="e">
        <f t="shared" si="5"/>
        <v>#N/A</v>
      </c>
      <c r="K33" s="244">
        <f>IF(EOMONTH(K32,12)&gt;Basis!$E$22,Basis!$E$22,EOMONTH(K32,12))</f>
        <v>5510</v>
      </c>
      <c r="L33" s="245" t="e">
        <f t="shared" si="6"/>
        <v>#N/A</v>
      </c>
      <c r="M33" s="19" t="e">
        <f t="shared" si="7"/>
        <v>#N/A</v>
      </c>
      <c r="N33" s="17">
        <f>IF(EOMONTH(N32,12)&gt;Basis!$F$22,Basis!$F$22,EOMONTH(N32,12))</f>
        <v>5510</v>
      </c>
      <c r="O33" s="147" t="e">
        <f t="shared" si="8"/>
        <v>#N/A</v>
      </c>
      <c r="P33" s="191" t="e">
        <f t="shared" si="9"/>
        <v>#N/A</v>
      </c>
      <c r="Q33" s="150" t="e">
        <f t="shared" si="10"/>
        <v>#N/A</v>
      </c>
      <c r="R33" s="23" t="e">
        <f t="shared" si="11"/>
        <v>#N/A</v>
      </c>
    </row>
    <row r="34" spans="1:19" x14ac:dyDescent="0.25">
      <c r="A34" s="182">
        <f>IF(EOMONTH(A33,12)&gt;Basis!$B$22,Basis!$B$22,EOMONTH(A33,12))</f>
        <v>5875</v>
      </c>
      <c r="B34" s="239" t="e">
        <f t="shared" si="12"/>
        <v>#N/A</v>
      </c>
      <c r="C34" s="234">
        <f t="shared" si="0"/>
        <v>0</v>
      </c>
      <c r="D34" s="235" t="e">
        <f t="shared" si="1"/>
        <v>#N/A</v>
      </c>
      <c r="E34" s="182">
        <f>IF(EOMONTH(E33,12)&gt;Basis!$C$22,Basis!$C$22,EOMONTH(E33,12))</f>
        <v>5875</v>
      </c>
      <c r="F34" s="239" t="e">
        <f t="shared" si="2"/>
        <v>#N/A</v>
      </c>
      <c r="G34" s="234">
        <f t="shared" si="3"/>
        <v>0</v>
      </c>
      <c r="H34" s="235" t="e">
        <f t="shared" si="4"/>
        <v>#N/A</v>
      </c>
      <c r="I34" s="186">
        <f>IF(EOMONTH(I33,12)&gt;Basis!$D$22,Basis!$D$22,EOMONTH(I33,12))</f>
        <v>5875</v>
      </c>
      <c r="J34" s="179" t="e">
        <f t="shared" si="5"/>
        <v>#N/A</v>
      </c>
      <c r="K34" s="244">
        <f>IF(EOMONTH(K33,12)&gt;Basis!$E$22,Basis!$E$22,EOMONTH(K33,12))</f>
        <v>5875</v>
      </c>
      <c r="L34" s="245" t="e">
        <f t="shared" si="6"/>
        <v>#N/A</v>
      </c>
      <c r="M34" s="19" t="e">
        <f t="shared" si="7"/>
        <v>#N/A</v>
      </c>
      <c r="N34" s="17">
        <f>IF(EOMONTH(N33,12)&gt;Basis!$F$22,Basis!$F$22,EOMONTH(N33,12))</f>
        <v>5875</v>
      </c>
      <c r="O34" s="147" t="e">
        <f t="shared" si="8"/>
        <v>#N/A</v>
      </c>
      <c r="P34" s="191" t="e">
        <f t="shared" si="9"/>
        <v>#N/A</v>
      </c>
      <c r="Q34" s="150" t="e">
        <f t="shared" si="10"/>
        <v>#N/A</v>
      </c>
      <c r="R34" s="23" t="e">
        <f t="shared" si="11"/>
        <v>#N/A</v>
      </c>
    </row>
    <row r="35" spans="1:19" x14ac:dyDescent="0.25">
      <c r="A35" s="182">
        <f>IF(EOMONTH(A34,12)&gt;Basis!$B$22,Basis!$B$22,EOMONTH(A34,12))</f>
        <v>6241</v>
      </c>
      <c r="B35" s="239" t="e">
        <f t="shared" si="12"/>
        <v>#N/A</v>
      </c>
      <c r="C35" s="234">
        <f t="shared" si="0"/>
        <v>0</v>
      </c>
      <c r="D35" s="235" t="e">
        <f t="shared" si="1"/>
        <v>#N/A</v>
      </c>
      <c r="E35" s="182">
        <f>IF(EOMONTH(E34,12)&gt;Basis!$C$22,Basis!$C$22,EOMONTH(E34,12))</f>
        <v>6241</v>
      </c>
      <c r="F35" s="239" t="e">
        <f t="shared" si="2"/>
        <v>#N/A</v>
      </c>
      <c r="G35" s="234">
        <f t="shared" si="3"/>
        <v>0</v>
      </c>
      <c r="H35" s="235" t="e">
        <f t="shared" si="4"/>
        <v>#N/A</v>
      </c>
      <c r="I35" s="186">
        <f>IF(EOMONTH(I34,12)&gt;Basis!$D$22,Basis!$D$22,EOMONTH(I34,12))</f>
        <v>6241</v>
      </c>
      <c r="J35" s="179" t="e">
        <f t="shared" si="5"/>
        <v>#N/A</v>
      </c>
      <c r="K35" s="244">
        <f>IF(EOMONTH(K34,12)&gt;Basis!$E$22,Basis!$E$22,EOMONTH(K34,12))</f>
        <v>6241</v>
      </c>
      <c r="L35" s="245" t="e">
        <f t="shared" si="6"/>
        <v>#N/A</v>
      </c>
      <c r="M35" s="19" t="e">
        <f t="shared" si="7"/>
        <v>#N/A</v>
      </c>
      <c r="N35" s="17">
        <f>IF(EOMONTH(N34,12)&gt;Basis!$F$22,Basis!$F$22,EOMONTH(N34,12))</f>
        <v>6241</v>
      </c>
      <c r="O35" s="147" t="e">
        <f t="shared" si="8"/>
        <v>#N/A</v>
      </c>
      <c r="P35" s="191" t="e">
        <f t="shared" si="9"/>
        <v>#N/A</v>
      </c>
      <c r="Q35" s="150" t="e">
        <f t="shared" si="10"/>
        <v>#N/A</v>
      </c>
      <c r="R35" s="23" t="e">
        <f t="shared" si="11"/>
        <v>#N/A</v>
      </c>
    </row>
    <row r="36" spans="1:19" x14ac:dyDescent="0.25">
      <c r="A36" s="182">
        <f>IF(EOMONTH(A35,12)&gt;Basis!$B$22,Basis!$B$22,EOMONTH(A35,12))</f>
        <v>6606</v>
      </c>
      <c r="B36" s="239" t="e">
        <f t="shared" si="12"/>
        <v>#N/A</v>
      </c>
      <c r="C36" s="234">
        <f t="shared" si="0"/>
        <v>0</v>
      </c>
      <c r="D36" s="235" t="e">
        <f t="shared" si="1"/>
        <v>#N/A</v>
      </c>
      <c r="E36" s="182">
        <f>IF(EOMONTH(E35,12)&gt;Basis!$C$22,Basis!$C$22,EOMONTH(E35,12))</f>
        <v>6606</v>
      </c>
      <c r="F36" s="239" t="e">
        <f t="shared" si="2"/>
        <v>#N/A</v>
      </c>
      <c r="G36" s="234">
        <f t="shared" si="3"/>
        <v>0</v>
      </c>
      <c r="H36" s="235" t="e">
        <f t="shared" si="4"/>
        <v>#N/A</v>
      </c>
      <c r="I36" s="186">
        <f>IF(EOMONTH(I35,12)&gt;Basis!$D$22,Basis!$D$22,EOMONTH(I35,12))</f>
        <v>6606</v>
      </c>
      <c r="J36" s="179" t="e">
        <f t="shared" si="5"/>
        <v>#N/A</v>
      </c>
      <c r="K36" s="244">
        <f>IF(EOMONTH(K35,12)&gt;Basis!$E$22,Basis!$E$22,EOMONTH(K35,12))</f>
        <v>6606</v>
      </c>
      <c r="L36" s="245" t="e">
        <f t="shared" si="6"/>
        <v>#N/A</v>
      </c>
      <c r="M36" s="19" t="e">
        <f t="shared" si="7"/>
        <v>#N/A</v>
      </c>
      <c r="N36" s="17">
        <f>IF(EOMONTH(N35,12)&gt;Basis!$F$22,Basis!$F$22,EOMONTH(N35,12))</f>
        <v>6606</v>
      </c>
      <c r="O36" s="147" t="e">
        <f t="shared" si="8"/>
        <v>#N/A</v>
      </c>
      <c r="P36" s="191" t="e">
        <f t="shared" si="9"/>
        <v>#N/A</v>
      </c>
      <c r="Q36" s="150" t="e">
        <f t="shared" si="10"/>
        <v>#N/A</v>
      </c>
      <c r="R36" s="23" t="e">
        <f t="shared" si="11"/>
        <v>#N/A</v>
      </c>
    </row>
    <row r="37" spans="1:19" x14ac:dyDescent="0.25">
      <c r="A37" s="182">
        <f>IF(EOMONTH(A36,12)&gt;Basis!$B$22,Basis!$B$22,EOMONTH(A36,12))</f>
        <v>6971</v>
      </c>
      <c r="B37" s="239" t="e">
        <f t="shared" si="12"/>
        <v>#N/A</v>
      </c>
      <c r="C37" s="234">
        <f t="shared" si="0"/>
        <v>0</v>
      </c>
      <c r="D37" s="235" t="e">
        <f t="shared" si="1"/>
        <v>#N/A</v>
      </c>
      <c r="E37" s="182">
        <f>IF(EOMONTH(E36,12)&gt;Basis!$C$22,Basis!$C$22,EOMONTH(E36,12))</f>
        <v>6971</v>
      </c>
      <c r="F37" s="239" t="e">
        <f t="shared" si="2"/>
        <v>#N/A</v>
      </c>
      <c r="G37" s="234">
        <f t="shared" si="3"/>
        <v>0</v>
      </c>
      <c r="H37" s="235" t="e">
        <f t="shared" si="4"/>
        <v>#N/A</v>
      </c>
      <c r="I37" s="186">
        <f>IF(EOMONTH(I36,12)&gt;Basis!$D$22,Basis!$D$22,EOMONTH(I36,12))</f>
        <v>6971</v>
      </c>
      <c r="J37" s="179" t="e">
        <f t="shared" si="5"/>
        <v>#N/A</v>
      </c>
      <c r="K37" s="244">
        <f>IF(EOMONTH(K36,12)&gt;Basis!$E$22,Basis!$E$22,EOMONTH(K36,12))</f>
        <v>6971</v>
      </c>
      <c r="L37" s="245" t="e">
        <f t="shared" si="6"/>
        <v>#N/A</v>
      </c>
      <c r="M37" s="19" t="e">
        <f t="shared" si="7"/>
        <v>#N/A</v>
      </c>
      <c r="N37" s="17">
        <f>IF(EOMONTH(N36,12)&gt;Basis!$F$22,Basis!$F$22,EOMONTH(N36,12))</f>
        <v>6971</v>
      </c>
      <c r="O37" s="147" t="e">
        <f t="shared" si="8"/>
        <v>#N/A</v>
      </c>
      <c r="P37" s="191" t="e">
        <f t="shared" si="9"/>
        <v>#N/A</v>
      </c>
      <c r="Q37" s="150" t="e">
        <f t="shared" si="10"/>
        <v>#N/A</v>
      </c>
      <c r="R37" s="23" t="e">
        <f t="shared" si="11"/>
        <v>#N/A</v>
      </c>
    </row>
    <row r="38" spans="1:19" x14ac:dyDescent="0.25">
      <c r="A38" s="182">
        <f>IF(EOMONTH(A37,12)&gt;Basis!$B$22,Basis!$B$22,EOMONTH(A37,12))</f>
        <v>7336</v>
      </c>
      <c r="B38" s="239" t="e">
        <f t="shared" si="12"/>
        <v>#N/A</v>
      </c>
      <c r="C38" s="234">
        <f t="shared" si="0"/>
        <v>0</v>
      </c>
      <c r="D38" s="235" t="e">
        <f t="shared" si="1"/>
        <v>#N/A</v>
      </c>
      <c r="E38" s="182">
        <f>IF(EOMONTH(E37,12)&gt;Basis!$C$22,Basis!$C$22,EOMONTH(E37,12))</f>
        <v>7336</v>
      </c>
      <c r="F38" s="239" t="e">
        <f t="shared" si="2"/>
        <v>#N/A</v>
      </c>
      <c r="G38" s="234">
        <f t="shared" si="3"/>
        <v>0</v>
      </c>
      <c r="H38" s="235" t="e">
        <f t="shared" si="4"/>
        <v>#N/A</v>
      </c>
      <c r="I38" s="186">
        <f>IF(EOMONTH(I37,12)&gt;Basis!$D$22,Basis!$D$22,EOMONTH(I37,12))</f>
        <v>7336</v>
      </c>
      <c r="J38" s="179" t="e">
        <f t="shared" si="5"/>
        <v>#N/A</v>
      </c>
      <c r="K38" s="244">
        <f>IF(EOMONTH(K37,12)&gt;Basis!$E$22,Basis!$E$22,EOMONTH(K37,12))</f>
        <v>7336</v>
      </c>
      <c r="L38" s="245" t="e">
        <f t="shared" si="6"/>
        <v>#N/A</v>
      </c>
      <c r="M38" s="19" t="e">
        <f t="shared" si="7"/>
        <v>#N/A</v>
      </c>
      <c r="N38" s="17">
        <f>IF(EOMONTH(N37,12)&gt;Basis!$F$22,Basis!$F$22,EOMONTH(N37,12))</f>
        <v>7336</v>
      </c>
      <c r="O38" s="147" t="e">
        <f t="shared" si="8"/>
        <v>#N/A</v>
      </c>
      <c r="P38" s="191" t="e">
        <f t="shared" si="9"/>
        <v>#N/A</v>
      </c>
      <c r="Q38" s="150" t="e">
        <f t="shared" si="10"/>
        <v>#N/A</v>
      </c>
      <c r="R38" s="23" t="e">
        <f t="shared" si="11"/>
        <v>#N/A</v>
      </c>
    </row>
    <row r="39" spans="1:19" x14ac:dyDescent="0.25">
      <c r="A39" s="182">
        <f>IF(EOMONTH(A38,12)&gt;Basis!$B$22,Basis!$B$22,EOMONTH(A38,12))</f>
        <v>7702</v>
      </c>
      <c r="B39" s="239" t="e">
        <f t="shared" si="12"/>
        <v>#N/A</v>
      </c>
      <c r="C39" s="234">
        <f t="shared" si="0"/>
        <v>0</v>
      </c>
      <c r="D39" s="235" t="e">
        <f t="shared" si="1"/>
        <v>#N/A</v>
      </c>
      <c r="E39" s="182">
        <f>IF(EOMONTH(E38,12)&gt;Basis!$C$22,Basis!$C$22,EOMONTH(E38,12))</f>
        <v>7702</v>
      </c>
      <c r="F39" s="239" t="e">
        <f t="shared" si="2"/>
        <v>#N/A</v>
      </c>
      <c r="G39" s="234">
        <f t="shared" si="3"/>
        <v>0</v>
      </c>
      <c r="H39" s="235" t="e">
        <f t="shared" si="4"/>
        <v>#N/A</v>
      </c>
      <c r="I39" s="186">
        <f>IF(EOMONTH(I38,12)&gt;Basis!$D$22,Basis!$D$22,EOMONTH(I38,12))</f>
        <v>7702</v>
      </c>
      <c r="J39" s="179" t="e">
        <f t="shared" si="5"/>
        <v>#N/A</v>
      </c>
      <c r="K39" s="244">
        <f>IF(EOMONTH(K38,12)&gt;Basis!$E$22,Basis!$E$22,EOMONTH(K38,12))</f>
        <v>7702</v>
      </c>
      <c r="L39" s="245" t="e">
        <f t="shared" si="6"/>
        <v>#N/A</v>
      </c>
      <c r="M39" s="19" t="e">
        <f t="shared" si="7"/>
        <v>#N/A</v>
      </c>
      <c r="N39" s="17">
        <f>IF(EOMONTH(N38,12)&gt;Basis!$F$22,Basis!$F$22,EOMONTH(N38,12))</f>
        <v>7702</v>
      </c>
      <c r="O39" s="147" t="e">
        <f t="shared" si="8"/>
        <v>#N/A</v>
      </c>
      <c r="P39" s="191" t="e">
        <f t="shared" si="9"/>
        <v>#N/A</v>
      </c>
      <c r="Q39" s="150" t="e">
        <f t="shared" si="10"/>
        <v>#N/A</v>
      </c>
      <c r="R39" s="23" t="e">
        <f t="shared" si="11"/>
        <v>#N/A</v>
      </c>
    </row>
    <row r="40" spans="1:19" x14ac:dyDescent="0.25">
      <c r="A40" s="182">
        <f>IF(EOMONTH(A39,12)&gt;Basis!$B$22,Basis!$B$22,EOMONTH(A39,12))</f>
        <v>8067</v>
      </c>
      <c r="B40" s="239" t="e">
        <f t="shared" si="12"/>
        <v>#N/A</v>
      </c>
      <c r="C40" s="234">
        <f t="shared" si="0"/>
        <v>0</v>
      </c>
      <c r="D40" s="235" t="e">
        <f t="shared" si="1"/>
        <v>#N/A</v>
      </c>
      <c r="E40" s="182">
        <f>IF(EOMONTH(E39,12)&gt;Basis!$C$22,Basis!$C$22,EOMONTH(E39,12))</f>
        <v>8067</v>
      </c>
      <c r="F40" s="239" t="e">
        <f t="shared" si="2"/>
        <v>#N/A</v>
      </c>
      <c r="G40" s="234">
        <f t="shared" si="3"/>
        <v>0</v>
      </c>
      <c r="H40" s="235" t="e">
        <f t="shared" si="4"/>
        <v>#N/A</v>
      </c>
      <c r="I40" s="186">
        <f>IF(EOMONTH(I39,12)&gt;Basis!$D$22,Basis!$D$22,EOMONTH(I39,12))</f>
        <v>8067</v>
      </c>
      <c r="J40" s="179" t="e">
        <f t="shared" si="5"/>
        <v>#N/A</v>
      </c>
      <c r="K40" s="244">
        <f>IF(EOMONTH(K39,12)&gt;Basis!$E$22,Basis!$E$22,EOMONTH(K39,12))</f>
        <v>8067</v>
      </c>
      <c r="L40" s="245" t="e">
        <f t="shared" si="6"/>
        <v>#N/A</v>
      </c>
      <c r="M40" s="19" t="e">
        <f t="shared" si="7"/>
        <v>#N/A</v>
      </c>
      <c r="N40" s="17">
        <f>IF(EOMONTH(N39,12)&gt;Basis!$F$22,Basis!$F$22,EOMONTH(N39,12))</f>
        <v>8067</v>
      </c>
      <c r="O40" s="147" t="e">
        <f t="shared" si="8"/>
        <v>#N/A</v>
      </c>
      <c r="P40" s="191" t="e">
        <f t="shared" si="9"/>
        <v>#N/A</v>
      </c>
      <c r="Q40" s="150" t="e">
        <f t="shared" si="10"/>
        <v>#N/A</v>
      </c>
      <c r="R40" s="23" t="e">
        <f t="shared" si="11"/>
        <v>#N/A</v>
      </c>
    </row>
    <row r="41" spans="1:19" x14ac:dyDescent="0.25">
      <c r="A41" s="182">
        <f>IF(EOMONTH(A40,12)&gt;Basis!$B$22,Basis!$B$22,EOMONTH(A40,12))</f>
        <v>8432</v>
      </c>
      <c r="B41" s="239" t="e">
        <f t="shared" si="12"/>
        <v>#N/A</v>
      </c>
      <c r="C41" s="234">
        <f t="shared" si="0"/>
        <v>0</v>
      </c>
      <c r="D41" s="235" t="e">
        <f t="shared" si="1"/>
        <v>#N/A</v>
      </c>
      <c r="E41" s="182">
        <f>IF(EOMONTH(E40,12)&gt;Basis!$C$22,Basis!$C$22,EOMONTH(E40,12))</f>
        <v>8432</v>
      </c>
      <c r="F41" s="239" t="e">
        <f t="shared" si="2"/>
        <v>#N/A</v>
      </c>
      <c r="G41" s="234">
        <f t="shared" si="3"/>
        <v>0</v>
      </c>
      <c r="H41" s="235" t="e">
        <f t="shared" si="4"/>
        <v>#N/A</v>
      </c>
      <c r="I41" s="186">
        <f>IF(EOMONTH(I40,12)&gt;Basis!$D$22,Basis!$D$22,EOMONTH(I40,12))</f>
        <v>8432</v>
      </c>
      <c r="J41" s="179" t="e">
        <f t="shared" si="5"/>
        <v>#N/A</v>
      </c>
      <c r="K41" s="244">
        <f>IF(EOMONTH(K40,12)&gt;Basis!$E$22,Basis!$E$22,EOMONTH(K40,12))</f>
        <v>8432</v>
      </c>
      <c r="L41" s="245" t="e">
        <f t="shared" si="6"/>
        <v>#N/A</v>
      </c>
      <c r="M41" s="19" t="e">
        <f t="shared" si="7"/>
        <v>#N/A</v>
      </c>
      <c r="N41" s="17">
        <f>IF(EOMONTH(N40,12)&gt;Basis!$F$22,Basis!$F$22,EOMONTH(N40,12))</f>
        <v>8432</v>
      </c>
      <c r="O41" s="147" t="e">
        <f t="shared" si="8"/>
        <v>#N/A</v>
      </c>
      <c r="P41" s="191" t="e">
        <f t="shared" si="9"/>
        <v>#N/A</v>
      </c>
      <c r="Q41" s="150" t="e">
        <f t="shared" si="10"/>
        <v>#N/A</v>
      </c>
      <c r="R41" s="23" t="e">
        <f t="shared" si="11"/>
        <v>#N/A</v>
      </c>
    </row>
    <row r="42" spans="1:19" x14ac:dyDescent="0.25">
      <c r="A42" s="224">
        <f>IF(EOMONTH(A41,12)&gt;Basis!$B$22,Basis!$B$22,EOMONTH(A41,12))</f>
        <v>8797</v>
      </c>
      <c r="B42" s="240" t="e">
        <f t="shared" si="12"/>
        <v>#N/A</v>
      </c>
      <c r="C42" s="236">
        <f t="shared" si="0"/>
        <v>0</v>
      </c>
      <c r="D42" s="237" t="e">
        <f t="shared" si="1"/>
        <v>#N/A</v>
      </c>
      <c r="E42" s="224">
        <f>IF(EOMONTH(E41,12)&gt;Basis!$C$22,Basis!$C$22,EOMONTH(E41,12))</f>
        <v>8797</v>
      </c>
      <c r="F42" s="240" t="e">
        <f t="shared" si="2"/>
        <v>#N/A</v>
      </c>
      <c r="G42" s="236">
        <f t="shared" si="3"/>
        <v>0</v>
      </c>
      <c r="H42" s="237" t="e">
        <f t="shared" si="4"/>
        <v>#N/A</v>
      </c>
      <c r="I42" s="187">
        <f>IF(EOMONTH(I41,12)&gt;Basis!$D$22,Basis!$D$22,EOMONTH(I41,12))</f>
        <v>8797</v>
      </c>
      <c r="J42" s="180" t="e">
        <f t="shared" si="5"/>
        <v>#N/A</v>
      </c>
      <c r="K42" s="246">
        <f>IF(EOMONTH(K41,12)&gt;Basis!$E$22,Basis!$E$22,EOMONTH(K41,12))</f>
        <v>8797</v>
      </c>
      <c r="L42" s="247" t="e">
        <f t="shared" si="6"/>
        <v>#N/A</v>
      </c>
      <c r="M42" s="20" t="e">
        <f t="shared" si="7"/>
        <v>#N/A</v>
      </c>
      <c r="N42" s="18">
        <f>IF(EOMONTH(N41,12)&gt;Basis!$F$22,Basis!$F$22,EOMONTH(N41,12))</f>
        <v>8797</v>
      </c>
      <c r="O42" s="148" t="e">
        <f t="shared" si="8"/>
        <v>#N/A</v>
      </c>
      <c r="P42" s="192" t="e">
        <f t="shared" si="9"/>
        <v>#N/A</v>
      </c>
      <c r="Q42" s="213"/>
      <c r="R42" s="24" t="e">
        <f t="shared" si="11"/>
        <v>#N/A</v>
      </c>
    </row>
    <row r="43" spans="1:19" x14ac:dyDescent="0.25">
      <c r="A43" s="15"/>
      <c r="B43" s="15"/>
      <c r="C43" s="15"/>
      <c r="D43" s="15"/>
      <c r="E43" s="15"/>
      <c r="F43" s="41"/>
      <c r="G43" s="41"/>
      <c r="H43" s="15"/>
      <c r="I43" s="190"/>
      <c r="J43" s="168"/>
      <c r="K43" s="15"/>
      <c r="L43" s="16"/>
      <c r="M43" s="16"/>
      <c r="N43" s="15"/>
      <c r="O43" s="15"/>
      <c r="P43" s="41"/>
      <c r="Q43" s="212" t="s">
        <v>5</v>
      </c>
      <c r="R43" s="43" t="e">
        <f>SUM(R18:R42)</f>
        <v>#N/A</v>
      </c>
      <c r="S43" s="42"/>
    </row>
    <row r="44" spans="1:19" x14ac:dyDescent="0.25">
      <c r="G44" s="15"/>
      <c r="H44" s="15"/>
      <c r="K44" s="11"/>
      <c r="Q44" s="15"/>
      <c r="R44" s="15"/>
    </row>
    <row r="45" spans="1:19" x14ac:dyDescent="0.25">
      <c r="K45" s="11"/>
    </row>
    <row r="46" spans="1:19" x14ac:dyDescent="0.25">
      <c r="I46" s="169" t="s">
        <v>48</v>
      </c>
    </row>
    <row r="47" spans="1:19" x14ac:dyDescent="0.25">
      <c r="I47" s="169" t="s">
        <v>50</v>
      </c>
    </row>
    <row r="48" spans="1:19" x14ac:dyDescent="0.25">
      <c r="I48" s="169" t="s">
        <v>49</v>
      </c>
    </row>
    <row r="49" spans="11:11" x14ac:dyDescent="0.25">
      <c r="K49" s="11"/>
    </row>
    <row r="50" spans="11:11" x14ac:dyDescent="0.25">
      <c r="K50" s="11"/>
    </row>
    <row r="51" spans="11:11" x14ac:dyDescent="0.25">
      <c r="K51" s="11"/>
    </row>
    <row r="52" spans="11:11" x14ac:dyDescent="0.25">
      <c r="K52" s="11"/>
    </row>
    <row r="53" spans="11:11" x14ac:dyDescent="0.25">
      <c r="K53" s="11"/>
    </row>
    <row r="54" spans="11:11" x14ac:dyDescent="0.25">
      <c r="K54" s="11"/>
    </row>
    <row r="55" spans="11:11" x14ac:dyDescent="0.25">
      <c r="K55" s="11"/>
    </row>
    <row r="56" spans="11:11" x14ac:dyDescent="0.25">
      <c r="K56" s="11"/>
    </row>
    <row r="57" spans="11:11" x14ac:dyDescent="0.25">
      <c r="K57" s="11"/>
    </row>
    <row r="58" spans="11:11" x14ac:dyDescent="0.25">
      <c r="K58" s="11"/>
    </row>
    <row r="59" spans="11:11" x14ac:dyDescent="0.25">
      <c r="K59" s="11"/>
    </row>
  </sheetData>
  <mergeCells count="5">
    <mergeCell ref="A16:D16"/>
    <mergeCell ref="N16:O16"/>
    <mergeCell ref="K16:M16"/>
    <mergeCell ref="I16:J16"/>
    <mergeCell ref="E16:H16"/>
  </mergeCells>
  <pageMargins left="0.7" right="0.7" top="0.75" bottom="0.75" header="0.3" footer="0.3"/>
  <pageSetup paperSize="9" scale="86" orientation="landscape" r:id="rId1"/>
  <headerFooter>
    <oddFooter>&amp;L&amp;"Arial,Regular"&amp;8ear &amp;D &amp;T
Lane Clark &amp;&amp; Peacock Page &amp;P of &amp;N&amp;R&amp;"Arial,Regular"&amp;8&amp;Z&amp;F[&amp;A]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59"/>
  <sheetViews>
    <sheetView zoomScale="70" zoomScaleNormal="70" workbookViewId="0">
      <selection activeCell="A15" sqref="A15:D15"/>
    </sheetView>
  </sheetViews>
  <sheetFormatPr defaultColWidth="9.109375" defaultRowHeight="13.2" x14ac:dyDescent="0.25"/>
  <cols>
    <col min="1" max="1" width="21.88671875" style="9" bestFit="1" customWidth="1"/>
    <col min="2" max="2" width="25" style="9" customWidth="1"/>
    <col min="3" max="3" width="15.6640625" style="9" customWidth="1"/>
    <col min="4" max="4" width="15.88671875" style="9" customWidth="1"/>
    <col min="5" max="5" width="16.109375" style="9" customWidth="1"/>
    <col min="6" max="7" width="13.88671875" style="9" customWidth="1"/>
    <col min="8" max="8" width="21.33203125" style="9" customWidth="1"/>
    <col min="9" max="9" width="22.88671875" style="9" customWidth="1"/>
    <col min="10" max="10" width="12.109375" style="9" customWidth="1"/>
    <col min="11" max="11" width="13.109375" style="9" customWidth="1"/>
    <col min="12" max="12" width="15.88671875" style="9" customWidth="1"/>
    <col min="13" max="13" width="13.109375" style="9" customWidth="1"/>
    <col min="14" max="14" width="20.6640625" style="9" bestFit="1" customWidth="1"/>
    <col min="15" max="15" width="10.44140625" style="9" customWidth="1"/>
    <col min="16" max="16" width="15.109375" style="9" bestFit="1" customWidth="1"/>
    <col min="17" max="17" width="17.5546875" style="9" bestFit="1" customWidth="1"/>
    <col min="18" max="18" width="26" style="9" bestFit="1" customWidth="1"/>
    <col min="19" max="19" width="17.88671875" style="9" customWidth="1"/>
    <col min="20" max="24" width="9.109375" style="9"/>
    <col min="25" max="25" width="12.6640625" style="9" customWidth="1"/>
    <col min="26" max="27" width="9.109375" style="9"/>
    <col min="28" max="34" width="15.6640625" style="9" customWidth="1"/>
    <col min="35" max="16384" width="9.109375" style="9"/>
  </cols>
  <sheetData>
    <row r="2" spans="1:19" x14ac:dyDescent="0.25">
      <c r="A2" s="12" t="s">
        <v>4</v>
      </c>
      <c r="B2" s="13" t="e">
        <f>Accounting_date_prev</f>
        <v>#NUM!</v>
      </c>
      <c r="C2" s="13"/>
      <c r="D2" s="14"/>
      <c r="G2" s="14"/>
      <c r="H2" s="13"/>
      <c r="Q2" s="10"/>
    </row>
    <row r="3" spans="1:19" x14ac:dyDescent="0.25">
      <c r="C3" s="25"/>
      <c r="H3" s="198"/>
      <c r="Q3" s="25"/>
      <c r="R3" s="25"/>
    </row>
    <row r="4" spans="1:19" x14ac:dyDescent="0.25">
      <c r="A4" s="14" t="s">
        <v>136</v>
      </c>
      <c r="B4" s="164">
        <f>Basis!E21</f>
        <v>42096</v>
      </c>
      <c r="C4" s="225"/>
      <c r="D4" s="14"/>
      <c r="G4" s="14"/>
      <c r="H4" s="199"/>
      <c r="J4" s="10"/>
      <c r="P4" s="14"/>
      <c r="Q4" s="25"/>
      <c r="R4" s="25"/>
    </row>
    <row r="5" spans="1:19" x14ac:dyDescent="0.25">
      <c r="A5" s="14" t="s">
        <v>137</v>
      </c>
      <c r="B5" s="164">
        <f>Basis!D21</f>
        <v>43203</v>
      </c>
      <c r="C5" s="225"/>
      <c r="D5" s="14"/>
      <c r="G5" s="14"/>
      <c r="H5" s="199"/>
      <c r="J5" s="10"/>
      <c r="P5" s="14"/>
      <c r="Q5" s="25"/>
      <c r="R5" s="25"/>
    </row>
    <row r="6" spans="1:19" x14ac:dyDescent="0.25">
      <c r="A6" s="173" t="s">
        <v>143</v>
      </c>
      <c r="B6" s="153">
        <f>Basis!C21</f>
        <v>44013</v>
      </c>
      <c r="C6" s="208"/>
      <c r="D6" s="14"/>
      <c r="G6" s="14"/>
      <c r="H6" s="199"/>
      <c r="J6" s="10"/>
      <c r="P6" s="14"/>
      <c r="Q6" s="25"/>
      <c r="R6" s="25"/>
    </row>
    <row r="7" spans="1:19" x14ac:dyDescent="0.25">
      <c r="A7" s="173" t="s">
        <v>150</v>
      </c>
      <c r="B7" s="153">
        <f>Basis!B21</f>
        <v>44104</v>
      </c>
      <c r="C7" s="208"/>
      <c r="D7" s="14"/>
      <c r="G7" s="14"/>
      <c r="H7" s="199"/>
      <c r="J7" s="10"/>
      <c r="P7" s="14"/>
      <c r="Q7" s="25"/>
      <c r="R7" s="25"/>
    </row>
    <row r="8" spans="1:19" x14ac:dyDescent="0.25">
      <c r="A8" s="14"/>
      <c r="B8" s="14"/>
      <c r="C8" s="34"/>
      <c r="D8" s="14"/>
      <c r="G8" s="14"/>
      <c r="H8" s="197"/>
      <c r="M8" s="10">
        <v>42095</v>
      </c>
      <c r="P8" s="14"/>
      <c r="Q8" s="25"/>
      <c r="R8" s="25"/>
    </row>
    <row r="9" spans="1:19" x14ac:dyDescent="0.25">
      <c r="A9" s="12" t="s">
        <v>7</v>
      </c>
      <c r="B9" s="152" t="e">
        <f>IF(B2&gt;=B7, A7, IF(B2&gt;B6, A6, IF(B2&gt;=B5,"2018 RP",IF(B2&gt;=B4,"2015 RP","2012 RP"))))</f>
        <v>#NUM!</v>
      </c>
      <c r="C9" s="207"/>
      <c r="D9" s="14"/>
      <c r="G9" s="14"/>
      <c r="H9" s="197"/>
      <c r="M9" s="10">
        <v>42369</v>
      </c>
      <c r="P9" s="14"/>
      <c r="Q9" s="32"/>
      <c r="R9" s="25"/>
      <c r="S9" s="10"/>
    </row>
    <row r="10" spans="1:19" x14ac:dyDescent="0.25">
      <c r="A10" s="12" t="s">
        <v>138</v>
      </c>
      <c r="B10" s="153" t="e">
        <f>IF(B9=A7, Basis!B22, IF(B9=A6, Basis!C22, IF(B9="2018 RP",Basis!D22,IF(B9="2015 RP",Basis!E22,Basis!F22))))</f>
        <v>#NUM!</v>
      </c>
      <c r="C10" s="208"/>
      <c r="D10" s="14"/>
      <c r="G10" s="14"/>
      <c r="H10" s="199"/>
      <c r="M10" s="10"/>
      <c r="P10" s="14"/>
      <c r="Q10" s="32"/>
      <c r="R10" s="25"/>
      <c r="S10" s="10"/>
    </row>
    <row r="11" spans="1:19" ht="39.6" x14ac:dyDescent="0.25">
      <c r="A11" s="253" t="s">
        <v>155</v>
      </c>
      <c r="B11" s="44" t="e">
        <f>IF(AND(first_month_prev&gt;=G14,first_month_prev&lt;=G15),first_month_DRCs_prevyr*2,first_month_DRCs_prevyr)</f>
        <v>#NUM!</v>
      </c>
      <c r="C11" s="226" t="s">
        <v>154</v>
      </c>
      <c r="D11" s="44">
        <f>first_month_DRCs_prevyr</f>
        <v>0</v>
      </c>
      <c r="H11" s="200"/>
      <c r="L11" s="28" t="s">
        <v>15</v>
      </c>
      <c r="M11" s="29" t="e">
        <f>IF(AND($B$2&gt;$M$8,$B$2&lt;$M$9),"yes","no")</f>
        <v>#NUM!</v>
      </c>
    </row>
    <row r="12" spans="1:19" x14ac:dyDescent="0.25">
      <c r="A12" s="9" t="s">
        <v>12</v>
      </c>
      <c r="B12" s="30" t="e">
        <f>DR_prev</f>
        <v>#NUM!</v>
      </c>
      <c r="C12" s="248"/>
      <c r="H12" s="201"/>
      <c r="L12" s="9" t="s">
        <v>25</v>
      </c>
      <c r="M12" s="33">
        <f>percentage_cont</f>
        <v>0</v>
      </c>
      <c r="Q12" s="79"/>
    </row>
    <row r="13" spans="1:19" x14ac:dyDescent="0.25">
      <c r="A13" s="9" t="s">
        <v>14</v>
      </c>
      <c r="B13" s="30" t="e">
        <f>Inflation_prev</f>
        <v>#NUM!</v>
      </c>
      <c r="C13" s="248"/>
      <c r="H13" s="201"/>
      <c r="L13" s="9" t="s">
        <v>29</v>
      </c>
      <c r="M13" s="33">
        <f>$M$12/0.11</f>
        <v>0</v>
      </c>
    </row>
    <row r="14" spans="1:19" s="25" customFormat="1" x14ac:dyDescent="0.25">
      <c r="A14" s="34"/>
      <c r="B14" s="34"/>
      <c r="C14" s="34"/>
      <c r="D14" s="34"/>
      <c r="E14" s="173"/>
      <c r="F14" s="205"/>
      <c r="G14" s="206">
        <v>44013</v>
      </c>
      <c r="I14" s="34"/>
      <c r="J14" s="34"/>
      <c r="K14" s="34"/>
      <c r="L14" s="35"/>
      <c r="M14" s="34"/>
      <c r="N14" s="34"/>
      <c r="O14" s="36"/>
      <c r="P14" s="34"/>
      <c r="Q14" s="34"/>
      <c r="R14" s="34"/>
    </row>
    <row r="15" spans="1:19" s="198" customFormat="1" x14ac:dyDescent="0.25">
      <c r="A15" s="197"/>
      <c r="B15" s="197"/>
      <c r="C15" s="197"/>
      <c r="D15" s="197"/>
      <c r="E15" s="207"/>
      <c r="F15" s="207"/>
      <c r="G15" s="208">
        <v>44196</v>
      </c>
      <c r="I15" s="193"/>
      <c r="J15" s="193"/>
      <c r="K15" s="193"/>
      <c r="L15" s="194"/>
      <c r="M15" s="193"/>
      <c r="N15" s="195"/>
      <c r="O15" s="196"/>
      <c r="P15" s="197"/>
      <c r="Q15" s="197"/>
      <c r="R15" s="197"/>
    </row>
    <row r="16" spans="1:19" x14ac:dyDescent="0.25">
      <c r="A16" s="335" t="s">
        <v>150</v>
      </c>
      <c r="B16" s="336"/>
      <c r="C16" s="336"/>
      <c r="D16" s="337"/>
      <c r="E16" s="335" t="s">
        <v>143</v>
      </c>
      <c r="F16" s="336"/>
      <c r="G16" s="336"/>
      <c r="H16" s="337"/>
      <c r="I16" s="340" t="s">
        <v>135</v>
      </c>
      <c r="J16" s="342"/>
      <c r="K16" s="340" t="s">
        <v>8</v>
      </c>
      <c r="L16" s="341"/>
      <c r="M16" s="342"/>
      <c r="N16" s="338" t="s">
        <v>9</v>
      </c>
      <c r="O16" s="339"/>
      <c r="P16" s="31"/>
      <c r="Q16" s="31"/>
      <c r="R16" s="31"/>
    </row>
    <row r="17" spans="1:18" ht="39.6" x14ac:dyDescent="0.25">
      <c r="A17" s="209" t="s">
        <v>4</v>
      </c>
      <c r="B17" s="210" t="s">
        <v>27</v>
      </c>
      <c r="C17" s="231" t="s">
        <v>153</v>
      </c>
      <c r="D17" s="211" t="s">
        <v>144</v>
      </c>
      <c r="E17" s="209" t="s">
        <v>4</v>
      </c>
      <c r="F17" s="210" t="s">
        <v>27</v>
      </c>
      <c r="G17" s="231" t="s">
        <v>153</v>
      </c>
      <c r="H17" s="211" t="s">
        <v>144</v>
      </c>
      <c r="I17" s="40" t="s">
        <v>4</v>
      </c>
      <c r="J17" s="204" t="s">
        <v>27</v>
      </c>
      <c r="K17" s="40" t="s">
        <v>4</v>
      </c>
      <c r="L17" s="38" t="s">
        <v>27</v>
      </c>
      <c r="M17" s="39" t="s">
        <v>28</v>
      </c>
      <c r="N17" s="40" t="s">
        <v>26</v>
      </c>
      <c r="O17" s="38" t="s">
        <v>27</v>
      </c>
      <c r="P17" s="151" t="s">
        <v>6</v>
      </c>
      <c r="Q17" s="21" t="s">
        <v>10</v>
      </c>
      <c r="R17" s="21" t="s">
        <v>11</v>
      </c>
    </row>
    <row r="18" spans="1:18" x14ac:dyDescent="0.25">
      <c r="A18" s="181" t="e">
        <f>$B$2</f>
        <v>#NUM!</v>
      </c>
      <c r="B18" s="238" t="e">
        <f>IF(MONTH(B2)=12,$B$11*12,(($B$11*12)*(1-MONTH($B$2)/12))+(($B$11*12)*(1+$B$13)*(MONTH($B$2)/12)))</f>
        <v>#NUM!</v>
      </c>
      <c r="C18" s="232" t="e">
        <f>MAX(0, (MIN(A18+365,$G$15)-MAX(A18,$G$14)))</f>
        <v>#NUM!</v>
      </c>
      <c r="D18" s="233" t="e">
        <f>B18*(1-50%*C18/365)</f>
        <v>#NUM!</v>
      </c>
      <c r="E18" s="181" t="e">
        <f>$B$2</f>
        <v>#NUM!</v>
      </c>
      <c r="F18" s="238" t="e">
        <f>IF(MONTH(B2)=12,$B$11*12,(($B$11*12)*(1-MONTH($B$2)/12))+(($B$11*12)*(1+$B$13)*(MONTH($B$2)/12)))</f>
        <v>#NUM!</v>
      </c>
      <c r="G18" s="232" t="e">
        <f>MAX(0, (MIN(E18+365,$G$15)-MAX(E18,$G$14)))</f>
        <v>#NUM!</v>
      </c>
      <c r="H18" s="233" t="e">
        <f>F18*(1-50%*G18/365)</f>
        <v>#NUM!</v>
      </c>
      <c r="I18" s="202" t="e">
        <f>$B$2</f>
        <v>#NUM!</v>
      </c>
      <c r="J18" s="203" t="e">
        <f>IF(MONTH(B2)=12,$B$11*12,(($B$11*12)*(1-MONTH($B$2)/12))+(($B$11*12)*(1+$B$13)*(MONTH($B$2)/12)))</f>
        <v>#NUM!</v>
      </c>
      <c r="K18" s="242" t="e">
        <f>$B$2</f>
        <v>#NUM!</v>
      </c>
      <c r="L18" s="243" t="e">
        <f>IF(MONTH(B2)=12,$B$11*12,(($B$11*12)*(1-MONTH($B$2)/12))+(($B$11*12)*(1+$B$13)*(MONTH($B$2)/12)))</f>
        <v>#NUM!</v>
      </c>
      <c r="M18" s="27" t="e">
        <f>$L$18*($M$9-$K$18)/365+$L$18*(1-(($M$9-$K$18)/365))*$M$13</f>
        <v>#NUM!</v>
      </c>
      <c r="N18" s="26" t="e">
        <f>$B$2</f>
        <v>#NUM!</v>
      </c>
      <c r="O18" s="146" t="e">
        <f>IF(MONTH(B2)=12,$B$11*12,(($B$11*12)*(1-MONTH($B$2)/12))+(($B$11*12)*(1+$B$13)*(MONTH($B$2)/12)))</f>
        <v>#NUM!</v>
      </c>
      <c r="P18" s="189" t="e">
        <f>IF($B$9=$A$7, D18, IF($B$9=$A$6, H18, IF($B$9="2018 RP",J18,IF($B$9="2015 RP",IF($M$11="yes",M18,L18),O18))))</f>
        <v>#NUM!</v>
      </c>
      <c r="Q18" s="149" t="e">
        <f>(1+$B$12)^-0.5</f>
        <v>#NUM!</v>
      </c>
      <c r="R18" s="22" t="e">
        <f>P18*Q18</f>
        <v>#NUM!</v>
      </c>
    </row>
    <row r="19" spans="1:18" x14ac:dyDescent="0.25">
      <c r="A19" s="182" t="e">
        <f>IF(EOMONTH(A18,12)&gt;Basis!$B$22,Basis!$B$22,EOMONTH(A18,12))</f>
        <v>#NUM!</v>
      </c>
      <c r="B19" s="239" t="e">
        <f>IF(A20=A19,0,B18*(1+$B$13))*(A20-A19)/365</f>
        <v>#NUM!</v>
      </c>
      <c r="C19" s="234" t="e">
        <f t="shared" ref="C19:C42" si="0">MAX(0, (MIN(A19+365,$G$15)-MAX(A19,$G$14)))</f>
        <v>#NUM!</v>
      </c>
      <c r="D19" s="235" t="e">
        <f t="shared" ref="D19:D42" si="1">B19*(1-50%*C19/365)</f>
        <v>#NUM!</v>
      </c>
      <c r="E19" s="182" t="e">
        <f>IF(EOMONTH(E18,12)&gt;Basis!$C$22,Basis!$C$22,EOMONTH(E18,12))</f>
        <v>#NUM!</v>
      </c>
      <c r="F19" s="239" t="e">
        <f>IF(E20=E19,0,F18*(1+$B$13))*(E20-E19)/365</f>
        <v>#NUM!</v>
      </c>
      <c r="G19" s="234" t="e">
        <f t="shared" ref="G19:G42" si="2">MAX(0, (MIN(E19+365,$G$15)-MAX(E19,$G$14)))</f>
        <v>#NUM!</v>
      </c>
      <c r="H19" s="235" t="e">
        <f t="shared" ref="H19:H42" si="3">F19*(1-50%*G19/365)</f>
        <v>#NUM!</v>
      </c>
      <c r="I19" s="17" t="e">
        <f>IF(EOMONTH(I18,12)&gt;Basis!$D$22,Basis!$D$22,EOMONTH(I18,12))</f>
        <v>#NUM!</v>
      </c>
      <c r="J19" s="19" t="e">
        <f t="shared" ref="J19:J42" si="4">IF(I20=I19,0,J18*(1+$B$13))*(I20-I19)/365</f>
        <v>#NUM!</v>
      </c>
      <c r="K19" s="244" t="e">
        <f>IF(EOMONTH(K18,12)&gt;Basis!$E$22,Basis!$E$22,EOMONTH(K18,12))</f>
        <v>#NUM!</v>
      </c>
      <c r="L19" s="245" t="e">
        <f t="shared" ref="L19:L42" si="5">IF(K20=K19,0,L18*(1+$B$13))*(K20-K19)/365</f>
        <v>#NUM!</v>
      </c>
      <c r="M19" s="19" t="e">
        <f t="shared" ref="M19:M42" si="6">L19*$M$13</f>
        <v>#NUM!</v>
      </c>
      <c r="N19" s="17" t="e">
        <f>IF(EOMONTH(N18,12)&gt;Basis!$F$22,Basis!$F$22,EOMONTH(N18,12))</f>
        <v>#NUM!</v>
      </c>
      <c r="O19" s="147" t="e">
        <f t="shared" ref="O19:O42" si="7">IF(N20=N19,0,O18*(1+$B$13))*(N20-N19)/365</f>
        <v>#NUM!</v>
      </c>
      <c r="P19" s="191" t="e">
        <f t="shared" ref="P19:P42" si="8">IF($B$9=$A$7, D19, IF($B$9=$A$6, H19, IF($B$9="2018 RP",J19,IF($B$9="2015 RP",IF($M$11="yes",M19,L19),O19))))</f>
        <v>#NUM!</v>
      </c>
      <c r="Q19" s="150" t="e">
        <f t="shared" ref="Q19:Q41" si="9">Q18*(1+$B$12)^-(0.5+(K20-K19)/2/365)</f>
        <v>#NUM!</v>
      </c>
      <c r="R19" s="23" t="e">
        <f t="shared" ref="R19:R42" si="10">P19*Q19</f>
        <v>#NUM!</v>
      </c>
    </row>
    <row r="20" spans="1:18" x14ac:dyDescent="0.25">
      <c r="A20" s="182" t="e">
        <f>IF(EOMONTH(A19,12)&gt;Basis!$B$22,Basis!$B$22,EOMONTH(A19,12))</f>
        <v>#NUM!</v>
      </c>
      <c r="B20" s="239" t="e">
        <f t="shared" ref="B20:B42" si="11">IF(A21=A20,0,B19*(1+$B$13))*(A21-A20)/365</f>
        <v>#NUM!</v>
      </c>
      <c r="C20" s="234" t="e">
        <f t="shared" si="0"/>
        <v>#NUM!</v>
      </c>
      <c r="D20" s="235" t="e">
        <f t="shared" si="1"/>
        <v>#NUM!</v>
      </c>
      <c r="E20" s="182" t="e">
        <f>IF(EOMONTH(E19,12)&gt;Basis!$C$22,Basis!$C$22,EOMONTH(E19,12))</f>
        <v>#NUM!</v>
      </c>
      <c r="F20" s="239" t="e">
        <f t="shared" ref="F20:F42" si="12">IF(E21=E20,0,F19*(1+$B$13))*(E21-E20)/365</f>
        <v>#NUM!</v>
      </c>
      <c r="G20" s="234" t="e">
        <f t="shared" si="2"/>
        <v>#NUM!</v>
      </c>
      <c r="H20" s="235" t="e">
        <f t="shared" si="3"/>
        <v>#NUM!</v>
      </c>
      <c r="I20" s="17" t="e">
        <f>IF(EOMONTH(I19,12)&gt;Basis!$D$22,Basis!$D$22,EOMONTH(I19,12))</f>
        <v>#NUM!</v>
      </c>
      <c r="J20" s="19" t="e">
        <f t="shared" si="4"/>
        <v>#NUM!</v>
      </c>
      <c r="K20" s="244" t="e">
        <f>IF(EOMONTH(K19,12)&gt;Basis!$E$22,Basis!$E$22,EOMONTH(K19,12))</f>
        <v>#NUM!</v>
      </c>
      <c r="L20" s="245" t="e">
        <f t="shared" si="5"/>
        <v>#NUM!</v>
      </c>
      <c r="M20" s="19" t="e">
        <f t="shared" si="6"/>
        <v>#NUM!</v>
      </c>
      <c r="N20" s="17" t="e">
        <f>IF(EOMONTH(N19,12)&gt;Basis!$F$22,Basis!$F$22,EOMONTH(N19,12))</f>
        <v>#NUM!</v>
      </c>
      <c r="O20" s="147" t="e">
        <f t="shared" si="7"/>
        <v>#NUM!</v>
      </c>
      <c r="P20" s="191" t="e">
        <f t="shared" si="8"/>
        <v>#NUM!</v>
      </c>
      <c r="Q20" s="150" t="e">
        <f t="shared" si="9"/>
        <v>#NUM!</v>
      </c>
      <c r="R20" s="23" t="e">
        <f t="shared" si="10"/>
        <v>#NUM!</v>
      </c>
    </row>
    <row r="21" spans="1:18" x14ac:dyDescent="0.25">
      <c r="A21" s="182" t="e">
        <f>IF(EOMONTH(A20,12)&gt;Basis!$B$22,Basis!$B$22,EOMONTH(A20,12))</f>
        <v>#NUM!</v>
      </c>
      <c r="B21" s="239" t="e">
        <f t="shared" si="11"/>
        <v>#NUM!</v>
      </c>
      <c r="C21" s="234" t="e">
        <f t="shared" si="0"/>
        <v>#NUM!</v>
      </c>
      <c r="D21" s="235" t="e">
        <f t="shared" si="1"/>
        <v>#NUM!</v>
      </c>
      <c r="E21" s="182" t="e">
        <f>IF(EOMONTH(E20,12)&gt;Basis!$C$22,Basis!$C$22,EOMONTH(E20,12))</f>
        <v>#NUM!</v>
      </c>
      <c r="F21" s="239" t="e">
        <f t="shared" si="12"/>
        <v>#NUM!</v>
      </c>
      <c r="G21" s="234" t="e">
        <f t="shared" si="2"/>
        <v>#NUM!</v>
      </c>
      <c r="H21" s="235" t="e">
        <f t="shared" si="3"/>
        <v>#NUM!</v>
      </c>
      <c r="I21" s="17" t="e">
        <f>IF(EOMONTH(I20,12)&gt;Basis!$D$22,Basis!$D$22,EOMONTH(I20,12))</f>
        <v>#NUM!</v>
      </c>
      <c r="J21" s="19" t="e">
        <f t="shared" si="4"/>
        <v>#NUM!</v>
      </c>
      <c r="K21" s="244" t="e">
        <f>IF(EOMONTH(K20,12)&gt;Basis!$E$22,Basis!$E$22,EOMONTH(K20,12))</f>
        <v>#NUM!</v>
      </c>
      <c r="L21" s="245" t="e">
        <f t="shared" si="5"/>
        <v>#NUM!</v>
      </c>
      <c r="M21" s="19" t="e">
        <f t="shared" si="6"/>
        <v>#NUM!</v>
      </c>
      <c r="N21" s="17" t="e">
        <f>IF(EOMONTH(N20,12)&gt;Basis!$F$22,Basis!$F$22,EOMONTH(N20,12))</f>
        <v>#NUM!</v>
      </c>
      <c r="O21" s="147" t="e">
        <f t="shared" si="7"/>
        <v>#NUM!</v>
      </c>
      <c r="P21" s="191" t="e">
        <f t="shared" si="8"/>
        <v>#NUM!</v>
      </c>
      <c r="Q21" s="150" t="e">
        <f t="shared" si="9"/>
        <v>#NUM!</v>
      </c>
      <c r="R21" s="23" t="e">
        <f t="shared" si="10"/>
        <v>#NUM!</v>
      </c>
    </row>
    <row r="22" spans="1:18" x14ac:dyDescent="0.25">
      <c r="A22" s="182" t="e">
        <f>IF(EOMONTH(A21,12)&gt;Basis!$B$22,Basis!$B$22,EOMONTH(A21,12))</f>
        <v>#NUM!</v>
      </c>
      <c r="B22" s="239" t="e">
        <f t="shared" si="11"/>
        <v>#NUM!</v>
      </c>
      <c r="C22" s="234" t="e">
        <f t="shared" si="0"/>
        <v>#NUM!</v>
      </c>
      <c r="D22" s="235" t="e">
        <f t="shared" si="1"/>
        <v>#NUM!</v>
      </c>
      <c r="E22" s="182" t="e">
        <f>IF(EOMONTH(E21,12)&gt;Basis!$C$22,Basis!$C$22,EOMONTH(E21,12))</f>
        <v>#NUM!</v>
      </c>
      <c r="F22" s="239" t="e">
        <f t="shared" si="12"/>
        <v>#NUM!</v>
      </c>
      <c r="G22" s="234" t="e">
        <f t="shared" si="2"/>
        <v>#NUM!</v>
      </c>
      <c r="H22" s="235" t="e">
        <f t="shared" si="3"/>
        <v>#NUM!</v>
      </c>
      <c r="I22" s="17" t="e">
        <f>IF(EOMONTH(I21,12)&gt;Basis!$D$22,Basis!$D$22,EOMONTH(I21,12))</f>
        <v>#NUM!</v>
      </c>
      <c r="J22" s="19" t="e">
        <f t="shared" si="4"/>
        <v>#NUM!</v>
      </c>
      <c r="K22" s="244" t="e">
        <f>IF(EOMONTH(K21,12)&gt;Basis!$E$22,Basis!$E$22,EOMONTH(K21,12))</f>
        <v>#NUM!</v>
      </c>
      <c r="L22" s="245" t="e">
        <f t="shared" si="5"/>
        <v>#NUM!</v>
      </c>
      <c r="M22" s="19" t="e">
        <f t="shared" si="6"/>
        <v>#NUM!</v>
      </c>
      <c r="N22" s="17" t="e">
        <f>IF(EOMONTH(N21,12)&gt;Basis!$F$22,Basis!$F$22,EOMONTH(N21,12))</f>
        <v>#NUM!</v>
      </c>
      <c r="O22" s="147" t="e">
        <f t="shared" si="7"/>
        <v>#NUM!</v>
      </c>
      <c r="P22" s="191" t="e">
        <f t="shared" si="8"/>
        <v>#NUM!</v>
      </c>
      <c r="Q22" s="150" t="e">
        <f t="shared" si="9"/>
        <v>#NUM!</v>
      </c>
      <c r="R22" s="23" t="e">
        <f t="shared" si="10"/>
        <v>#NUM!</v>
      </c>
    </row>
    <row r="23" spans="1:18" x14ac:dyDescent="0.25">
      <c r="A23" s="182" t="e">
        <f>IF(EOMONTH(A22,12)&gt;Basis!$B$22,Basis!$B$22,EOMONTH(A22,12))</f>
        <v>#NUM!</v>
      </c>
      <c r="B23" s="239" t="e">
        <f t="shared" si="11"/>
        <v>#NUM!</v>
      </c>
      <c r="C23" s="234" t="e">
        <f t="shared" si="0"/>
        <v>#NUM!</v>
      </c>
      <c r="D23" s="235" t="e">
        <f t="shared" si="1"/>
        <v>#NUM!</v>
      </c>
      <c r="E23" s="182" t="e">
        <f>IF(EOMONTH(E22,12)&gt;Basis!$C$22,Basis!$C$22,EOMONTH(E22,12))</f>
        <v>#NUM!</v>
      </c>
      <c r="F23" s="239" t="e">
        <f t="shared" si="12"/>
        <v>#NUM!</v>
      </c>
      <c r="G23" s="234" t="e">
        <f t="shared" si="2"/>
        <v>#NUM!</v>
      </c>
      <c r="H23" s="235" t="e">
        <f t="shared" si="3"/>
        <v>#NUM!</v>
      </c>
      <c r="I23" s="17" t="e">
        <f>IF(EOMONTH(I22,12)&gt;Basis!$D$22,Basis!$D$22,EOMONTH(I22,12))</f>
        <v>#NUM!</v>
      </c>
      <c r="J23" s="19" t="e">
        <f t="shared" si="4"/>
        <v>#NUM!</v>
      </c>
      <c r="K23" s="244" t="e">
        <f>IF(EOMONTH(K22,12)&gt;Basis!$E$22,Basis!$E$22,EOMONTH(K22,12))</f>
        <v>#NUM!</v>
      </c>
      <c r="L23" s="245" t="e">
        <f t="shared" si="5"/>
        <v>#NUM!</v>
      </c>
      <c r="M23" s="19" t="e">
        <f t="shared" si="6"/>
        <v>#NUM!</v>
      </c>
      <c r="N23" s="17" t="e">
        <f>IF(EOMONTH(N22,12)&gt;Basis!$F$22,Basis!$F$22,EOMONTH(N22,12))</f>
        <v>#NUM!</v>
      </c>
      <c r="O23" s="147" t="e">
        <f t="shared" si="7"/>
        <v>#NUM!</v>
      </c>
      <c r="P23" s="191" t="e">
        <f t="shared" si="8"/>
        <v>#NUM!</v>
      </c>
      <c r="Q23" s="150" t="e">
        <f t="shared" si="9"/>
        <v>#NUM!</v>
      </c>
      <c r="R23" s="23" t="e">
        <f t="shared" si="10"/>
        <v>#NUM!</v>
      </c>
    </row>
    <row r="24" spans="1:18" x14ac:dyDescent="0.25">
      <c r="A24" s="182" t="e">
        <f>IF(EOMONTH(A23,12)&gt;Basis!$B$22,Basis!$B$22,EOMONTH(A23,12))</f>
        <v>#NUM!</v>
      </c>
      <c r="B24" s="239" t="e">
        <f t="shared" si="11"/>
        <v>#NUM!</v>
      </c>
      <c r="C24" s="234" t="e">
        <f t="shared" si="0"/>
        <v>#NUM!</v>
      </c>
      <c r="D24" s="235" t="e">
        <f t="shared" si="1"/>
        <v>#NUM!</v>
      </c>
      <c r="E24" s="182" t="e">
        <f>IF(EOMONTH(E23,12)&gt;Basis!$C$22,Basis!$C$22,EOMONTH(E23,12))</f>
        <v>#NUM!</v>
      </c>
      <c r="F24" s="239" t="e">
        <f t="shared" si="12"/>
        <v>#NUM!</v>
      </c>
      <c r="G24" s="234" t="e">
        <f t="shared" si="2"/>
        <v>#NUM!</v>
      </c>
      <c r="H24" s="235" t="e">
        <f t="shared" si="3"/>
        <v>#NUM!</v>
      </c>
      <c r="I24" s="17" t="e">
        <f>IF(EOMONTH(I23,12)&gt;Basis!$D$22,Basis!$D$22,EOMONTH(I23,12))</f>
        <v>#NUM!</v>
      </c>
      <c r="J24" s="19" t="e">
        <f t="shared" si="4"/>
        <v>#NUM!</v>
      </c>
      <c r="K24" s="244" t="e">
        <f>IF(EOMONTH(K23,12)&gt;Basis!$E$22,Basis!$E$22,EOMONTH(K23,12))</f>
        <v>#NUM!</v>
      </c>
      <c r="L24" s="245" t="e">
        <f t="shared" si="5"/>
        <v>#NUM!</v>
      </c>
      <c r="M24" s="19" t="e">
        <f t="shared" si="6"/>
        <v>#NUM!</v>
      </c>
      <c r="N24" s="17" t="e">
        <f>IF(EOMONTH(N23,12)&gt;Basis!$F$22,Basis!$F$22,EOMONTH(N23,12))</f>
        <v>#NUM!</v>
      </c>
      <c r="O24" s="147" t="e">
        <f t="shared" si="7"/>
        <v>#NUM!</v>
      </c>
      <c r="P24" s="191" t="e">
        <f t="shared" si="8"/>
        <v>#NUM!</v>
      </c>
      <c r="Q24" s="150" t="e">
        <f t="shared" si="9"/>
        <v>#NUM!</v>
      </c>
      <c r="R24" s="23" t="e">
        <f t="shared" si="10"/>
        <v>#NUM!</v>
      </c>
    </row>
    <row r="25" spans="1:18" x14ac:dyDescent="0.25">
      <c r="A25" s="182" t="e">
        <f>IF(EOMONTH(A24,12)&gt;Basis!$B$22,Basis!$B$22,EOMONTH(A24,12))</f>
        <v>#NUM!</v>
      </c>
      <c r="B25" s="239" t="e">
        <f t="shared" si="11"/>
        <v>#NUM!</v>
      </c>
      <c r="C25" s="234" t="e">
        <f t="shared" si="0"/>
        <v>#NUM!</v>
      </c>
      <c r="D25" s="235" t="e">
        <f t="shared" si="1"/>
        <v>#NUM!</v>
      </c>
      <c r="E25" s="182" t="e">
        <f>IF(EOMONTH(E24,12)&gt;Basis!$C$22,Basis!$C$22,EOMONTH(E24,12))</f>
        <v>#NUM!</v>
      </c>
      <c r="F25" s="239" t="e">
        <f t="shared" si="12"/>
        <v>#NUM!</v>
      </c>
      <c r="G25" s="234" t="e">
        <f t="shared" si="2"/>
        <v>#NUM!</v>
      </c>
      <c r="H25" s="235" t="e">
        <f t="shared" si="3"/>
        <v>#NUM!</v>
      </c>
      <c r="I25" s="17" t="e">
        <f>IF(EOMONTH(I24,12)&gt;Basis!$D$22,Basis!$D$22,EOMONTH(I24,12))</f>
        <v>#NUM!</v>
      </c>
      <c r="J25" s="19" t="e">
        <f t="shared" si="4"/>
        <v>#NUM!</v>
      </c>
      <c r="K25" s="244" t="e">
        <f>IF(EOMONTH(K24,12)&gt;Basis!$E$22,Basis!$E$22,EOMONTH(K24,12))</f>
        <v>#NUM!</v>
      </c>
      <c r="L25" s="245" t="e">
        <f t="shared" si="5"/>
        <v>#NUM!</v>
      </c>
      <c r="M25" s="19" t="e">
        <f t="shared" si="6"/>
        <v>#NUM!</v>
      </c>
      <c r="N25" s="17" t="e">
        <f>IF(EOMONTH(N24,12)&gt;Basis!$F$22,Basis!$F$22,EOMONTH(N24,12))</f>
        <v>#NUM!</v>
      </c>
      <c r="O25" s="147" t="e">
        <f t="shared" si="7"/>
        <v>#NUM!</v>
      </c>
      <c r="P25" s="191" t="e">
        <f t="shared" si="8"/>
        <v>#NUM!</v>
      </c>
      <c r="Q25" s="150" t="e">
        <f t="shared" si="9"/>
        <v>#NUM!</v>
      </c>
      <c r="R25" s="23" t="e">
        <f t="shared" si="10"/>
        <v>#NUM!</v>
      </c>
    </row>
    <row r="26" spans="1:18" x14ac:dyDescent="0.25">
      <c r="A26" s="182" t="e">
        <f>IF(EOMONTH(A25,12)&gt;Basis!$B$22,Basis!$B$22,EOMONTH(A25,12))</f>
        <v>#NUM!</v>
      </c>
      <c r="B26" s="239" t="e">
        <f t="shared" si="11"/>
        <v>#NUM!</v>
      </c>
      <c r="C26" s="234" t="e">
        <f t="shared" si="0"/>
        <v>#NUM!</v>
      </c>
      <c r="D26" s="235" t="e">
        <f t="shared" si="1"/>
        <v>#NUM!</v>
      </c>
      <c r="E26" s="182" t="e">
        <f>IF(EOMONTH(E25,12)&gt;Basis!$C$22,Basis!$C$22,EOMONTH(E25,12))</f>
        <v>#NUM!</v>
      </c>
      <c r="F26" s="239" t="e">
        <f t="shared" si="12"/>
        <v>#NUM!</v>
      </c>
      <c r="G26" s="234" t="e">
        <f t="shared" si="2"/>
        <v>#NUM!</v>
      </c>
      <c r="H26" s="235" t="e">
        <f t="shared" si="3"/>
        <v>#NUM!</v>
      </c>
      <c r="I26" s="17" t="e">
        <f>IF(EOMONTH(I25,12)&gt;Basis!$D$22,Basis!$D$22,EOMONTH(I25,12))</f>
        <v>#NUM!</v>
      </c>
      <c r="J26" s="19" t="e">
        <f t="shared" si="4"/>
        <v>#NUM!</v>
      </c>
      <c r="K26" s="244" t="e">
        <f>IF(EOMONTH(K25,12)&gt;Basis!$E$22,Basis!$E$22,EOMONTH(K25,12))</f>
        <v>#NUM!</v>
      </c>
      <c r="L26" s="245" t="e">
        <f t="shared" si="5"/>
        <v>#NUM!</v>
      </c>
      <c r="M26" s="19" t="e">
        <f t="shared" si="6"/>
        <v>#NUM!</v>
      </c>
      <c r="N26" s="17" t="e">
        <f>IF(EOMONTH(N25,12)&gt;Basis!$F$22,Basis!$F$22,EOMONTH(N25,12))</f>
        <v>#NUM!</v>
      </c>
      <c r="O26" s="147" t="e">
        <f t="shared" si="7"/>
        <v>#NUM!</v>
      </c>
      <c r="P26" s="191" t="e">
        <f t="shared" si="8"/>
        <v>#NUM!</v>
      </c>
      <c r="Q26" s="150" t="e">
        <f t="shared" si="9"/>
        <v>#NUM!</v>
      </c>
      <c r="R26" s="23" t="e">
        <f t="shared" si="10"/>
        <v>#NUM!</v>
      </c>
    </row>
    <row r="27" spans="1:18" x14ac:dyDescent="0.25">
      <c r="A27" s="182" t="e">
        <f>IF(EOMONTH(A26,12)&gt;Basis!$B$22,Basis!$B$22,EOMONTH(A26,12))</f>
        <v>#NUM!</v>
      </c>
      <c r="B27" s="239" t="e">
        <f t="shared" si="11"/>
        <v>#NUM!</v>
      </c>
      <c r="C27" s="234" t="e">
        <f t="shared" si="0"/>
        <v>#NUM!</v>
      </c>
      <c r="D27" s="235" t="e">
        <f t="shared" si="1"/>
        <v>#NUM!</v>
      </c>
      <c r="E27" s="182" t="e">
        <f>IF(EOMONTH(E26,12)&gt;Basis!$C$22,Basis!$C$22,EOMONTH(E26,12))</f>
        <v>#NUM!</v>
      </c>
      <c r="F27" s="239" t="e">
        <f t="shared" si="12"/>
        <v>#NUM!</v>
      </c>
      <c r="G27" s="234" t="e">
        <f t="shared" si="2"/>
        <v>#NUM!</v>
      </c>
      <c r="H27" s="235" t="e">
        <f t="shared" si="3"/>
        <v>#NUM!</v>
      </c>
      <c r="I27" s="17" t="e">
        <f>IF(EOMONTH(I26,12)&gt;Basis!$D$22,Basis!$D$22,EOMONTH(I26,12))</f>
        <v>#NUM!</v>
      </c>
      <c r="J27" s="19" t="e">
        <f t="shared" si="4"/>
        <v>#NUM!</v>
      </c>
      <c r="K27" s="244" t="e">
        <f>IF(EOMONTH(K26,12)&gt;Basis!$E$22,Basis!$E$22,EOMONTH(K26,12))</f>
        <v>#NUM!</v>
      </c>
      <c r="L27" s="245" t="e">
        <f t="shared" si="5"/>
        <v>#NUM!</v>
      </c>
      <c r="M27" s="19" t="e">
        <f t="shared" si="6"/>
        <v>#NUM!</v>
      </c>
      <c r="N27" s="17" t="e">
        <f>IF(EOMONTH(N26,12)&gt;Basis!$F$22,Basis!$F$22,EOMONTH(N26,12))</f>
        <v>#NUM!</v>
      </c>
      <c r="O27" s="147" t="e">
        <f t="shared" si="7"/>
        <v>#NUM!</v>
      </c>
      <c r="P27" s="191" t="e">
        <f t="shared" si="8"/>
        <v>#NUM!</v>
      </c>
      <c r="Q27" s="150" t="e">
        <f t="shared" si="9"/>
        <v>#NUM!</v>
      </c>
      <c r="R27" s="23" t="e">
        <f t="shared" si="10"/>
        <v>#NUM!</v>
      </c>
    </row>
    <row r="28" spans="1:18" x14ac:dyDescent="0.25">
      <c r="A28" s="182" t="e">
        <f>IF(EOMONTH(A27,12)&gt;Basis!$B$22,Basis!$B$22,EOMONTH(A27,12))</f>
        <v>#NUM!</v>
      </c>
      <c r="B28" s="239" t="e">
        <f t="shared" si="11"/>
        <v>#NUM!</v>
      </c>
      <c r="C28" s="234" t="e">
        <f t="shared" si="0"/>
        <v>#NUM!</v>
      </c>
      <c r="D28" s="235" t="e">
        <f t="shared" si="1"/>
        <v>#NUM!</v>
      </c>
      <c r="E28" s="182" t="e">
        <f>IF(EOMONTH(E27,12)&gt;Basis!$C$22,Basis!$C$22,EOMONTH(E27,12))</f>
        <v>#NUM!</v>
      </c>
      <c r="F28" s="239" t="e">
        <f t="shared" si="12"/>
        <v>#NUM!</v>
      </c>
      <c r="G28" s="234" t="e">
        <f t="shared" si="2"/>
        <v>#NUM!</v>
      </c>
      <c r="H28" s="235" t="e">
        <f t="shared" si="3"/>
        <v>#NUM!</v>
      </c>
      <c r="I28" s="17" t="e">
        <f>IF(EOMONTH(I27,12)&gt;Basis!$D$22,Basis!$D$22,EOMONTH(I27,12))</f>
        <v>#NUM!</v>
      </c>
      <c r="J28" s="19" t="e">
        <f t="shared" si="4"/>
        <v>#NUM!</v>
      </c>
      <c r="K28" s="244" t="e">
        <f>IF(EOMONTH(K27,12)&gt;Basis!$E$22,Basis!$E$22,EOMONTH(K27,12))</f>
        <v>#NUM!</v>
      </c>
      <c r="L28" s="245" t="e">
        <f t="shared" si="5"/>
        <v>#NUM!</v>
      </c>
      <c r="M28" s="19" t="e">
        <f t="shared" si="6"/>
        <v>#NUM!</v>
      </c>
      <c r="N28" s="17" t="e">
        <f>IF(EOMONTH(N27,12)&gt;Basis!$F$22,Basis!$F$22,EOMONTH(N27,12))</f>
        <v>#NUM!</v>
      </c>
      <c r="O28" s="147" t="e">
        <f t="shared" si="7"/>
        <v>#NUM!</v>
      </c>
      <c r="P28" s="191" t="e">
        <f t="shared" si="8"/>
        <v>#NUM!</v>
      </c>
      <c r="Q28" s="150" t="e">
        <f t="shared" si="9"/>
        <v>#NUM!</v>
      </c>
      <c r="R28" s="23" t="e">
        <f t="shared" si="10"/>
        <v>#NUM!</v>
      </c>
    </row>
    <row r="29" spans="1:18" x14ac:dyDescent="0.25">
      <c r="A29" s="182" t="e">
        <f>IF(EOMONTH(A28,12)&gt;Basis!$B$22,Basis!$B$22,EOMONTH(A28,12))</f>
        <v>#NUM!</v>
      </c>
      <c r="B29" s="239" t="e">
        <f t="shared" si="11"/>
        <v>#NUM!</v>
      </c>
      <c r="C29" s="234" t="e">
        <f t="shared" si="0"/>
        <v>#NUM!</v>
      </c>
      <c r="D29" s="235" t="e">
        <f t="shared" si="1"/>
        <v>#NUM!</v>
      </c>
      <c r="E29" s="182" t="e">
        <f>IF(EOMONTH(E28,12)&gt;Basis!$C$22,Basis!$C$22,EOMONTH(E28,12))</f>
        <v>#NUM!</v>
      </c>
      <c r="F29" s="239" t="e">
        <f t="shared" si="12"/>
        <v>#NUM!</v>
      </c>
      <c r="G29" s="234" t="e">
        <f t="shared" si="2"/>
        <v>#NUM!</v>
      </c>
      <c r="H29" s="235" t="e">
        <f t="shared" si="3"/>
        <v>#NUM!</v>
      </c>
      <c r="I29" s="17" t="e">
        <f>IF(EOMONTH(I28,12)&gt;Basis!$D$22,Basis!$D$22,EOMONTH(I28,12))</f>
        <v>#NUM!</v>
      </c>
      <c r="J29" s="19" t="e">
        <f t="shared" si="4"/>
        <v>#NUM!</v>
      </c>
      <c r="K29" s="244" t="e">
        <f>IF(EOMONTH(K28,12)&gt;Basis!$E$22,Basis!$E$22,EOMONTH(K28,12))</f>
        <v>#NUM!</v>
      </c>
      <c r="L29" s="245" t="e">
        <f t="shared" si="5"/>
        <v>#NUM!</v>
      </c>
      <c r="M29" s="19" t="e">
        <f t="shared" si="6"/>
        <v>#NUM!</v>
      </c>
      <c r="N29" s="17" t="e">
        <f>IF(EOMONTH(N28,12)&gt;Basis!$F$22,Basis!$F$22,EOMONTH(N28,12))</f>
        <v>#NUM!</v>
      </c>
      <c r="O29" s="147" t="e">
        <f t="shared" si="7"/>
        <v>#NUM!</v>
      </c>
      <c r="P29" s="191" t="e">
        <f t="shared" si="8"/>
        <v>#NUM!</v>
      </c>
      <c r="Q29" s="150" t="e">
        <f t="shared" si="9"/>
        <v>#NUM!</v>
      </c>
      <c r="R29" s="23" t="e">
        <f t="shared" si="10"/>
        <v>#NUM!</v>
      </c>
    </row>
    <row r="30" spans="1:18" x14ac:dyDescent="0.25">
      <c r="A30" s="182" t="e">
        <f>IF(EOMONTH(A29,12)&gt;Basis!$B$22,Basis!$B$22,EOMONTH(A29,12))</f>
        <v>#NUM!</v>
      </c>
      <c r="B30" s="239" t="e">
        <f t="shared" si="11"/>
        <v>#NUM!</v>
      </c>
      <c r="C30" s="234" t="e">
        <f t="shared" si="0"/>
        <v>#NUM!</v>
      </c>
      <c r="D30" s="235" t="e">
        <f t="shared" si="1"/>
        <v>#NUM!</v>
      </c>
      <c r="E30" s="182" t="e">
        <f>IF(EOMONTH(E29,12)&gt;Basis!$C$22,Basis!$C$22,EOMONTH(E29,12))</f>
        <v>#NUM!</v>
      </c>
      <c r="F30" s="239" t="e">
        <f t="shared" si="12"/>
        <v>#NUM!</v>
      </c>
      <c r="G30" s="234" t="e">
        <f t="shared" si="2"/>
        <v>#NUM!</v>
      </c>
      <c r="H30" s="235" t="e">
        <f t="shared" si="3"/>
        <v>#NUM!</v>
      </c>
      <c r="I30" s="17" t="e">
        <f>IF(EOMONTH(I29,12)&gt;Basis!$D$22,Basis!$D$22,EOMONTH(I29,12))</f>
        <v>#NUM!</v>
      </c>
      <c r="J30" s="19" t="e">
        <f t="shared" si="4"/>
        <v>#NUM!</v>
      </c>
      <c r="K30" s="244" t="e">
        <f>IF(EOMONTH(K29,12)&gt;Basis!$E$22,Basis!$E$22,EOMONTH(K29,12))</f>
        <v>#NUM!</v>
      </c>
      <c r="L30" s="245" t="e">
        <f t="shared" si="5"/>
        <v>#NUM!</v>
      </c>
      <c r="M30" s="19" t="e">
        <f t="shared" si="6"/>
        <v>#NUM!</v>
      </c>
      <c r="N30" s="17" t="e">
        <f>IF(EOMONTH(N29,12)&gt;Basis!$F$22,Basis!$F$22,EOMONTH(N29,12))</f>
        <v>#NUM!</v>
      </c>
      <c r="O30" s="147" t="e">
        <f t="shared" si="7"/>
        <v>#NUM!</v>
      </c>
      <c r="P30" s="191" t="e">
        <f t="shared" si="8"/>
        <v>#NUM!</v>
      </c>
      <c r="Q30" s="150" t="e">
        <f t="shared" si="9"/>
        <v>#NUM!</v>
      </c>
      <c r="R30" s="23" t="e">
        <f t="shared" si="10"/>
        <v>#NUM!</v>
      </c>
    </row>
    <row r="31" spans="1:18" x14ac:dyDescent="0.25">
      <c r="A31" s="182" t="e">
        <f>IF(EOMONTH(A30,12)&gt;Basis!$B$22,Basis!$B$22,EOMONTH(A30,12))</f>
        <v>#NUM!</v>
      </c>
      <c r="B31" s="239" t="e">
        <f t="shared" si="11"/>
        <v>#NUM!</v>
      </c>
      <c r="C31" s="234" t="e">
        <f t="shared" si="0"/>
        <v>#NUM!</v>
      </c>
      <c r="D31" s="235" t="e">
        <f t="shared" si="1"/>
        <v>#NUM!</v>
      </c>
      <c r="E31" s="182" t="e">
        <f>IF(EOMONTH(E30,12)&gt;Basis!$C$22,Basis!$C$22,EOMONTH(E30,12))</f>
        <v>#NUM!</v>
      </c>
      <c r="F31" s="239" t="e">
        <f t="shared" si="12"/>
        <v>#NUM!</v>
      </c>
      <c r="G31" s="234" t="e">
        <f t="shared" si="2"/>
        <v>#NUM!</v>
      </c>
      <c r="H31" s="235" t="e">
        <f t="shared" si="3"/>
        <v>#NUM!</v>
      </c>
      <c r="I31" s="17" t="e">
        <f>IF(EOMONTH(I30,12)&gt;Basis!$D$22,Basis!$D$22,EOMONTH(I30,12))</f>
        <v>#NUM!</v>
      </c>
      <c r="J31" s="19" t="e">
        <f t="shared" si="4"/>
        <v>#NUM!</v>
      </c>
      <c r="K31" s="244" t="e">
        <f>IF(EOMONTH(K30,12)&gt;Basis!$E$22,Basis!$E$22,EOMONTH(K30,12))</f>
        <v>#NUM!</v>
      </c>
      <c r="L31" s="245" t="e">
        <f t="shared" si="5"/>
        <v>#NUM!</v>
      </c>
      <c r="M31" s="19" t="e">
        <f t="shared" si="6"/>
        <v>#NUM!</v>
      </c>
      <c r="N31" s="17" t="e">
        <f>IF(EOMONTH(N30,12)&gt;Basis!$F$22,Basis!$F$22,EOMONTH(N30,12))</f>
        <v>#NUM!</v>
      </c>
      <c r="O31" s="147" t="e">
        <f t="shared" si="7"/>
        <v>#NUM!</v>
      </c>
      <c r="P31" s="191" t="e">
        <f t="shared" si="8"/>
        <v>#NUM!</v>
      </c>
      <c r="Q31" s="150" t="e">
        <f t="shared" si="9"/>
        <v>#NUM!</v>
      </c>
      <c r="R31" s="23" t="e">
        <f t="shared" si="10"/>
        <v>#NUM!</v>
      </c>
    </row>
    <row r="32" spans="1:18" x14ac:dyDescent="0.25">
      <c r="A32" s="182" t="e">
        <f>IF(EOMONTH(A31,12)&gt;Basis!$B$22,Basis!$B$22,EOMONTH(A31,12))</f>
        <v>#NUM!</v>
      </c>
      <c r="B32" s="239" t="e">
        <f t="shared" si="11"/>
        <v>#NUM!</v>
      </c>
      <c r="C32" s="234" t="e">
        <f t="shared" si="0"/>
        <v>#NUM!</v>
      </c>
      <c r="D32" s="235" t="e">
        <f t="shared" si="1"/>
        <v>#NUM!</v>
      </c>
      <c r="E32" s="182" t="e">
        <f>IF(EOMONTH(E31,12)&gt;Basis!$C$22,Basis!$C$22,EOMONTH(E31,12))</f>
        <v>#NUM!</v>
      </c>
      <c r="F32" s="239" t="e">
        <f t="shared" si="12"/>
        <v>#NUM!</v>
      </c>
      <c r="G32" s="234" t="e">
        <f t="shared" si="2"/>
        <v>#NUM!</v>
      </c>
      <c r="H32" s="235" t="e">
        <f t="shared" si="3"/>
        <v>#NUM!</v>
      </c>
      <c r="I32" s="17" t="e">
        <f>IF(EOMONTH(I31,12)&gt;Basis!$D$22,Basis!$D$22,EOMONTH(I31,12))</f>
        <v>#NUM!</v>
      </c>
      <c r="J32" s="19" t="e">
        <f t="shared" si="4"/>
        <v>#NUM!</v>
      </c>
      <c r="K32" s="244" t="e">
        <f>IF(EOMONTH(K31,12)&gt;Basis!$E$22,Basis!$E$22,EOMONTH(K31,12))</f>
        <v>#NUM!</v>
      </c>
      <c r="L32" s="245" t="e">
        <f t="shared" si="5"/>
        <v>#NUM!</v>
      </c>
      <c r="M32" s="19" t="e">
        <f t="shared" si="6"/>
        <v>#NUM!</v>
      </c>
      <c r="N32" s="17" t="e">
        <f>IF(EOMONTH(N31,12)&gt;Basis!$F$22,Basis!$F$22,EOMONTH(N31,12))</f>
        <v>#NUM!</v>
      </c>
      <c r="O32" s="147" t="e">
        <f t="shared" si="7"/>
        <v>#NUM!</v>
      </c>
      <c r="P32" s="191" t="e">
        <f t="shared" si="8"/>
        <v>#NUM!</v>
      </c>
      <c r="Q32" s="150" t="e">
        <f t="shared" si="9"/>
        <v>#NUM!</v>
      </c>
      <c r="R32" s="23" t="e">
        <f t="shared" si="10"/>
        <v>#NUM!</v>
      </c>
    </row>
    <row r="33" spans="1:19" x14ac:dyDescent="0.25">
      <c r="A33" s="182" t="e">
        <f>IF(EOMONTH(A32,12)&gt;Basis!$B$22,Basis!$B$22,EOMONTH(A32,12))</f>
        <v>#NUM!</v>
      </c>
      <c r="B33" s="239" t="e">
        <f t="shared" si="11"/>
        <v>#NUM!</v>
      </c>
      <c r="C33" s="234" t="e">
        <f t="shared" si="0"/>
        <v>#NUM!</v>
      </c>
      <c r="D33" s="235" t="e">
        <f t="shared" si="1"/>
        <v>#NUM!</v>
      </c>
      <c r="E33" s="182" t="e">
        <f>IF(EOMONTH(E32,12)&gt;Basis!$C$22,Basis!$C$22,EOMONTH(E32,12))</f>
        <v>#NUM!</v>
      </c>
      <c r="F33" s="239" t="e">
        <f t="shared" si="12"/>
        <v>#NUM!</v>
      </c>
      <c r="G33" s="234" t="e">
        <f t="shared" si="2"/>
        <v>#NUM!</v>
      </c>
      <c r="H33" s="235" t="e">
        <f t="shared" si="3"/>
        <v>#NUM!</v>
      </c>
      <c r="I33" s="17" t="e">
        <f>IF(EOMONTH(I32,12)&gt;Basis!$D$22,Basis!$D$22,EOMONTH(I32,12))</f>
        <v>#NUM!</v>
      </c>
      <c r="J33" s="19" t="e">
        <f t="shared" si="4"/>
        <v>#NUM!</v>
      </c>
      <c r="K33" s="244" t="e">
        <f>IF(EOMONTH(K32,12)&gt;Basis!$E$22,Basis!$E$22,EOMONTH(K32,12))</f>
        <v>#NUM!</v>
      </c>
      <c r="L33" s="245" t="e">
        <f t="shared" si="5"/>
        <v>#NUM!</v>
      </c>
      <c r="M33" s="19" t="e">
        <f t="shared" si="6"/>
        <v>#NUM!</v>
      </c>
      <c r="N33" s="17" t="e">
        <f>IF(EOMONTH(N32,12)&gt;Basis!$F$22,Basis!$F$22,EOMONTH(N32,12))</f>
        <v>#NUM!</v>
      </c>
      <c r="O33" s="147" t="e">
        <f t="shared" si="7"/>
        <v>#NUM!</v>
      </c>
      <c r="P33" s="191" t="e">
        <f t="shared" si="8"/>
        <v>#NUM!</v>
      </c>
      <c r="Q33" s="150" t="e">
        <f t="shared" si="9"/>
        <v>#NUM!</v>
      </c>
      <c r="R33" s="23" t="e">
        <f t="shared" si="10"/>
        <v>#NUM!</v>
      </c>
    </row>
    <row r="34" spans="1:19" x14ac:dyDescent="0.25">
      <c r="A34" s="182" t="e">
        <f>IF(EOMONTH(A33,12)&gt;Basis!$B$22,Basis!$B$22,EOMONTH(A33,12))</f>
        <v>#NUM!</v>
      </c>
      <c r="B34" s="239" t="e">
        <f t="shared" si="11"/>
        <v>#NUM!</v>
      </c>
      <c r="C34" s="234" t="e">
        <f t="shared" si="0"/>
        <v>#NUM!</v>
      </c>
      <c r="D34" s="235" t="e">
        <f t="shared" si="1"/>
        <v>#NUM!</v>
      </c>
      <c r="E34" s="182" t="e">
        <f>IF(EOMONTH(E33,12)&gt;Basis!$C$22,Basis!$C$22,EOMONTH(E33,12))</f>
        <v>#NUM!</v>
      </c>
      <c r="F34" s="239" t="e">
        <f t="shared" si="12"/>
        <v>#NUM!</v>
      </c>
      <c r="G34" s="234" t="e">
        <f t="shared" si="2"/>
        <v>#NUM!</v>
      </c>
      <c r="H34" s="235" t="e">
        <f t="shared" si="3"/>
        <v>#NUM!</v>
      </c>
      <c r="I34" s="17" t="e">
        <f>IF(EOMONTH(I33,12)&gt;Basis!$D$22,Basis!$D$22,EOMONTH(I33,12))</f>
        <v>#NUM!</v>
      </c>
      <c r="J34" s="19" t="e">
        <f t="shared" si="4"/>
        <v>#NUM!</v>
      </c>
      <c r="K34" s="244" t="e">
        <f>IF(EOMONTH(K33,12)&gt;Basis!$E$22,Basis!$E$22,EOMONTH(K33,12))</f>
        <v>#NUM!</v>
      </c>
      <c r="L34" s="245" t="e">
        <f t="shared" si="5"/>
        <v>#NUM!</v>
      </c>
      <c r="M34" s="19" t="e">
        <f t="shared" si="6"/>
        <v>#NUM!</v>
      </c>
      <c r="N34" s="17" t="e">
        <f>IF(EOMONTH(N33,12)&gt;Basis!$F$22,Basis!$F$22,EOMONTH(N33,12))</f>
        <v>#NUM!</v>
      </c>
      <c r="O34" s="147" t="e">
        <f t="shared" si="7"/>
        <v>#NUM!</v>
      </c>
      <c r="P34" s="191" t="e">
        <f t="shared" si="8"/>
        <v>#NUM!</v>
      </c>
      <c r="Q34" s="150" t="e">
        <f t="shared" si="9"/>
        <v>#NUM!</v>
      </c>
      <c r="R34" s="23" t="e">
        <f t="shared" si="10"/>
        <v>#NUM!</v>
      </c>
    </row>
    <row r="35" spans="1:19" x14ac:dyDescent="0.25">
      <c r="A35" s="182" t="e">
        <f>IF(EOMONTH(A34,12)&gt;Basis!$B$22,Basis!$B$22,EOMONTH(A34,12))</f>
        <v>#NUM!</v>
      </c>
      <c r="B35" s="239" t="e">
        <f t="shared" si="11"/>
        <v>#NUM!</v>
      </c>
      <c r="C35" s="234" t="e">
        <f t="shared" si="0"/>
        <v>#NUM!</v>
      </c>
      <c r="D35" s="235" t="e">
        <f t="shared" si="1"/>
        <v>#NUM!</v>
      </c>
      <c r="E35" s="182" t="e">
        <f>IF(EOMONTH(E34,12)&gt;Basis!$C$22,Basis!$C$22,EOMONTH(E34,12))</f>
        <v>#NUM!</v>
      </c>
      <c r="F35" s="239" t="e">
        <f t="shared" si="12"/>
        <v>#NUM!</v>
      </c>
      <c r="G35" s="234" t="e">
        <f t="shared" si="2"/>
        <v>#NUM!</v>
      </c>
      <c r="H35" s="235" t="e">
        <f t="shared" si="3"/>
        <v>#NUM!</v>
      </c>
      <c r="I35" s="17" t="e">
        <f>IF(EOMONTH(I34,12)&gt;Basis!$D$22,Basis!$D$22,EOMONTH(I34,12))</f>
        <v>#NUM!</v>
      </c>
      <c r="J35" s="19" t="e">
        <f t="shared" si="4"/>
        <v>#NUM!</v>
      </c>
      <c r="K35" s="244" t="e">
        <f>IF(EOMONTH(K34,12)&gt;Basis!$E$22,Basis!$E$22,EOMONTH(K34,12))</f>
        <v>#NUM!</v>
      </c>
      <c r="L35" s="245" t="e">
        <f t="shared" si="5"/>
        <v>#NUM!</v>
      </c>
      <c r="M35" s="19" t="e">
        <f t="shared" si="6"/>
        <v>#NUM!</v>
      </c>
      <c r="N35" s="17" t="e">
        <f>IF(EOMONTH(N34,12)&gt;Basis!$F$22,Basis!$F$22,EOMONTH(N34,12))</f>
        <v>#NUM!</v>
      </c>
      <c r="O35" s="147" t="e">
        <f t="shared" si="7"/>
        <v>#NUM!</v>
      </c>
      <c r="P35" s="191" t="e">
        <f t="shared" si="8"/>
        <v>#NUM!</v>
      </c>
      <c r="Q35" s="150" t="e">
        <f t="shared" si="9"/>
        <v>#NUM!</v>
      </c>
      <c r="R35" s="23" t="e">
        <f t="shared" si="10"/>
        <v>#NUM!</v>
      </c>
    </row>
    <row r="36" spans="1:19" x14ac:dyDescent="0.25">
      <c r="A36" s="182" t="e">
        <f>IF(EOMONTH(A35,12)&gt;Basis!$B$22,Basis!$B$22,EOMONTH(A35,12))</f>
        <v>#NUM!</v>
      </c>
      <c r="B36" s="239" t="e">
        <f t="shared" si="11"/>
        <v>#NUM!</v>
      </c>
      <c r="C36" s="234" t="e">
        <f t="shared" si="0"/>
        <v>#NUM!</v>
      </c>
      <c r="D36" s="235" t="e">
        <f t="shared" si="1"/>
        <v>#NUM!</v>
      </c>
      <c r="E36" s="182" t="e">
        <f>IF(EOMONTH(E35,12)&gt;Basis!$C$22,Basis!$C$22,EOMONTH(E35,12))</f>
        <v>#NUM!</v>
      </c>
      <c r="F36" s="239" t="e">
        <f t="shared" si="12"/>
        <v>#NUM!</v>
      </c>
      <c r="G36" s="234" t="e">
        <f t="shared" si="2"/>
        <v>#NUM!</v>
      </c>
      <c r="H36" s="235" t="e">
        <f t="shared" si="3"/>
        <v>#NUM!</v>
      </c>
      <c r="I36" s="17" t="e">
        <f>IF(EOMONTH(I35,12)&gt;Basis!$D$22,Basis!$D$22,EOMONTH(I35,12))</f>
        <v>#NUM!</v>
      </c>
      <c r="J36" s="19" t="e">
        <f t="shared" si="4"/>
        <v>#NUM!</v>
      </c>
      <c r="K36" s="244" t="e">
        <f>IF(EOMONTH(K35,12)&gt;Basis!$E$22,Basis!$E$22,EOMONTH(K35,12))</f>
        <v>#NUM!</v>
      </c>
      <c r="L36" s="245" t="e">
        <f t="shared" si="5"/>
        <v>#NUM!</v>
      </c>
      <c r="M36" s="19" t="e">
        <f t="shared" si="6"/>
        <v>#NUM!</v>
      </c>
      <c r="N36" s="17" t="e">
        <f>IF(EOMONTH(N35,12)&gt;Basis!$F$22,Basis!$F$22,EOMONTH(N35,12))</f>
        <v>#NUM!</v>
      </c>
      <c r="O36" s="147" t="e">
        <f t="shared" si="7"/>
        <v>#NUM!</v>
      </c>
      <c r="P36" s="191" t="e">
        <f t="shared" si="8"/>
        <v>#NUM!</v>
      </c>
      <c r="Q36" s="150" t="e">
        <f t="shared" si="9"/>
        <v>#NUM!</v>
      </c>
      <c r="R36" s="23" t="e">
        <f t="shared" si="10"/>
        <v>#NUM!</v>
      </c>
    </row>
    <row r="37" spans="1:19" x14ac:dyDescent="0.25">
      <c r="A37" s="182" t="e">
        <f>IF(EOMONTH(A36,12)&gt;Basis!$B$22,Basis!$B$22,EOMONTH(A36,12))</f>
        <v>#NUM!</v>
      </c>
      <c r="B37" s="239" t="e">
        <f t="shared" si="11"/>
        <v>#NUM!</v>
      </c>
      <c r="C37" s="234" t="e">
        <f t="shared" si="0"/>
        <v>#NUM!</v>
      </c>
      <c r="D37" s="235" t="e">
        <f t="shared" si="1"/>
        <v>#NUM!</v>
      </c>
      <c r="E37" s="182" t="e">
        <f>IF(EOMONTH(E36,12)&gt;Basis!$C$22,Basis!$C$22,EOMONTH(E36,12))</f>
        <v>#NUM!</v>
      </c>
      <c r="F37" s="239" t="e">
        <f t="shared" si="12"/>
        <v>#NUM!</v>
      </c>
      <c r="G37" s="234" t="e">
        <f t="shared" si="2"/>
        <v>#NUM!</v>
      </c>
      <c r="H37" s="235" t="e">
        <f t="shared" si="3"/>
        <v>#NUM!</v>
      </c>
      <c r="I37" s="17" t="e">
        <f>IF(EOMONTH(I36,12)&gt;Basis!$D$22,Basis!$D$22,EOMONTH(I36,12))</f>
        <v>#NUM!</v>
      </c>
      <c r="J37" s="19" t="e">
        <f t="shared" si="4"/>
        <v>#NUM!</v>
      </c>
      <c r="K37" s="244" t="e">
        <f>IF(EOMONTH(K36,12)&gt;Basis!$E$22,Basis!$E$22,EOMONTH(K36,12))</f>
        <v>#NUM!</v>
      </c>
      <c r="L37" s="245" t="e">
        <f t="shared" si="5"/>
        <v>#NUM!</v>
      </c>
      <c r="M37" s="19" t="e">
        <f t="shared" si="6"/>
        <v>#NUM!</v>
      </c>
      <c r="N37" s="17" t="e">
        <f>IF(EOMONTH(N36,12)&gt;Basis!$F$22,Basis!$F$22,EOMONTH(N36,12))</f>
        <v>#NUM!</v>
      </c>
      <c r="O37" s="147" t="e">
        <f t="shared" si="7"/>
        <v>#NUM!</v>
      </c>
      <c r="P37" s="191" t="e">
        <f t="shared" si="8"/>
        <v>#NUM!</v>
      </c>
      <c r="Q37" s="150" t="e">
        <f t="shared" si="9"/>
        <v>#NUM!</v>
      </c>
      <c r="R37" s="23" t="e">
        <f t="shared" si="10"/>
        <v>#NUM!</v>
      </c>
    </row>
    <row r="38" spans="1:19" x14ac:dyDescent="0.25">
      <c r="A38" s="182" t="e">
        <f>IF(EOMONTH(A37,12)&gt;Basis!$B$22,Basis!$B$22,EOMONTH(A37,12))</f>
        <v>#NUM!</v>
      </c>
      <c r="B38" s="239" t="e">
        <f t="shared" si="11"/>
        <v>#NUM!</v>
      </c>
      <c r="C38" s="234" t="e">
        <f t="shared" si="0"/>
        <v>#NUM!</v>
      </c>
      <c r="D38" s="235" t="e">
        <f t="shared" si="1"/>
        <v>#NUM!</v>
      </c>
      <c r="E38" s="182" t="e">
        <f>IF(EOMONTH(E37,12)&gt;Basis!$C$22,Basis!$C$22,EOMONTH(E37,12))</f>
        <v>#NUM!</v>
      </c>
      <c r="F38" s="239" t="e">
        <f t="shared" si="12"/>
        <v>#NUM!</v>
      </c>
      <c r="G38" s="234" t="e">
        <f t="shared" si="2"/>
        <v>#NUM!</v>
      </c>
      <c r="H38" s="235" t="e">
        <f t="shared" si="3"/>
        <v>#NUM!</v>
      </c>
      <c r="I38" s="17" t="e">
        <f>IF(EOMONTH(I37,12)&gt;Basis!$D$22,Basis!$D$22,EOMONTH(I37,12))</f>
        <v>#NUM!</v>
      </c>
      <c r="J38" s="19" t="e">
        <f t="shared" si="4"/>
        <v>#NUM!</v>
      </c>
      <c r="K38" s="244" t="e">
        <f>IF(EOMONTH(K37,12)&gt;Basis!$E$22,Basis!$E$22,EOMONTH(K37,12))</f>
        <v>#NUM!</v>
      </c>
      <c r="L38" s="245" t="e">
        <f t="shared" si="5"/>
        <v>#NUM!</v>
      </c>
      <c r="M38" s="19" t="e">
        <f t="shared" si="6"/>
        <v>#NUM!</v>
      </c>
      <c r="N38" s="17" t="e">
        <f>IF(EOMONTH(N37,12)&gt;Basis!$F$22,Basis!$F$22,EOMONTH(N37,12))</f>
        <v>#NUM!</v>
      </c>
      <c r="O38" s="147" t="e">
        <f t="shared" si="7"/>
        <v>#NUM!</v>
      </c>
      <c r="P38" s="191" t="e">
        <f t="shared" si="8"/>
        <v>#NUM!</v>
      </c>
      <c r="Q38" s="150" t="e">
        <f t="shared" si="9"/>
        <v>#NUM!</v>
      </c>
      <c r="R38" s="23" t="e">
        <f t="shared" si="10"/>
        <v>#NUM!</v>
      </c>
    </row>
    <row r="39" spans="1:19" x14ac:dyDescent="0.25">
      <c r="A39" s="182" t="e">
        <f>IF(EOMONTH(A38,12)&gt;Basis!$B$22,Basis!$B$22,EOMONTH(A38,12))</f>
        <v>#NUM!</v>
      </c>
      <c r="B39" s="239" t="e">
        <f t="shared" si="11"/>
        <v>#NUM!</v>
      </c>
      <c r="C39" s="234" t="e">
        <f t="shared" si="0"/>
        <v>#NUM!</v>
      </c>
      <c r="D39" s="235" t="e">
        <f t="shared" si="1"/>
        <v>#NUM!</v>
      </c>
      <c r="E39" s="182" t="e">
        <f>IF(EOMONTH(E38,12)&gt;Basis!$C$22,Basis!$C$22,EOMONTH(E38,12))</f>
        <v>#NUM!</v>
      </c>
      <c r="F39" s="239" t="e">
        <f t="shared" si="12"/>
        <v>#NUM!</v>
      </c>
      <c r="G39" s="234" t="e">
        <f t="shared" si="2"/>
        <v>#NUM!</v>
      </c>
      <c r="H39" s="235" t="e">
        <f t="shared" si="3"/>
        <v>#NUM!</v>
      </c>
      <c r="I39" s="17" t="e">
        <f>IF(EOMONTH(I38,12)&gt;Basis!$D$22,Basis!$D$22,EOMONTH(I38,12))</f>
        <v>#NUM!</v>
      </c>
      <c r="J39" s="19" t="e">
        <f t="shared" si="4"/>
        <v>#NUM!</v>
      </c>
      <c r="K39" s="244" t="e">
        <f>IF(EOMONTH(K38,12)&gt;Basis!$E$22,Basis!$E$22,EOMONTH(K38,12))</f>
        <v>#NUM!</v>
      </c>
      <c r="L39" s="245" t="e">
        <f t="shared" si="5"/>
        <v>#NUM!</v>
      </c>
      <c r="M39" s="19" t="e">
        <f t="shared" si="6"/>
        <v>#NUM!</v>
      </c>
      <c r="N39" s="17" t="e">
        <f>IF(EOMONTH(N38,12)&gt;Basis!$F$22,Basis!$F$22,EOMONTH(N38,12))</f>
        <v>#NUM!</v>
      </c>
      <c r="O39" s="147" t="e">
        <f t="shared" si="7"/>
        <v>#NUM!</v>
      </c>
      <c r="P39" s="191" t="e">
        <f t="shared" si="8"/>
        <v>#NUM!</v>
      </c>
      <c r="Q39" s="150" t="e">
        <f t="shared" si="9"/>
        <v>#NUM!</v>
      </c>
      <c r="R39" s="23" t="e">
        <f t="shared" si="10"/>
        <v>#NUM!</v>
      </c>
    </row>
    <row r="40" spans="1:19" x14ac:dyDescent="0.25">
      <c r="A40" s="182" t="e">
        <f>IF(EOMONTH(A39,12)&gt;Basis!$B$22,Basis!$B$22,EOMONTH(A39,12))</f>
        <v>#NUM!</v>
      </c>
      <c r="B40" s="239" t="e">
        <f t="shared" si="11"/>
        <v>#NUM!</v>
      </c>
      <c r="C40" s="234" t="e">
        <f t="shared" si="0"/>
        <v>#NUM!</v>
      </c>
      <c r="D40" s="235" t="e">
        <f t="shared" si="1"/>
        <v>#NUM!</v>
      </c>
      <c r="E40" s="182" t="e">
        <f>IF(EOMONTH(E39,12)&gt;Basis!$C$22,Basis!$C$22,EOMONTH(E39,12))</f>
        <v>#NUM!</v>
      </c>
      <c r="F40" s="239" t="e">
        <f t="shared" si="12"/>
        <v>#NUM!</v>
      </c>
      <c r="G40" s="234" t="e">
        <f t="shared" si="2"/>
        <v>#NUM!</v>
      </c>
      <c r="H40" s="235" t="e">
        <f t="shared" si="3"/>
        <v>#NUM!</v>
      </c>
      <c r="I40" s="17" t="e">
        <f>IF(EOMONTH(I39,12)&gt;Basis!$D$22,Basis!$D$22,EOMONTH(I39,12))</f>
        <v>#NUM!</v>
      </c>
      <c r="J40" s="19" t="e">
        <f t="shared" si="4"/>
        <v>#NUM!</v>
      </c>
      <c r="K40" s="244" t="e">
        <f>IF(EOMONTH(K39,12)&gt;Basis!$E$22,Basis!$E$22,EOMONTH(K39,12))</f>
        <v>#NUM!</v>
      </c>
      <c r="L40" s="245" t="e">
        <f t="shared" si="5"/>
        <v>#NUM!</v>
      </c>
      <c r="M40" s="19" t="e">
        <f t="shared" si="6"/>
        <v>#NUM!</v>
      </c>
      <c r="N40" s="17" t="e">
        <f>IF(EOMONTH(N39,12)&gt;Basis!$F$22,Basis!$F$22,EOMONTH(N39,12))</f>
        <v>#NUM!</v>
      </c>
      <c r="O40" s="147" t="e">
        <f t="shared" si="7"/>
        <v>#NUM!</v>
      </c>
      <c r="P40" s="191" t="e">
        <f t="shared" si="8"/>
        <v>#NUM!</v>
      </c>
      <c r="Q40" s="150" t="e">
        <f t="shared" si="9"/>
        <v>#NUM!</v>
      </c>
      <c r="R40" s="23" t="e">
        <f t="shared" si="10"/>
        <v>#NUM!</v>
      </c>
    </row>
    <row r="41" spans="1:19" x14ac:dyDescent="0.25">
      <c r="A41" s="182" t="e">
        <f>IF(EOMONTH(A40,12)&gt;Basis!$B$22,Basis!$B$22,EOMONTH(A40,12))</f>
        <v>#NUM!</v>
      </c>
      <c r="B41" s="239" t="e">
        <f t="shared" si="11"/>
        <v>#NUM!</v>
      </c>
      <c r="C41" s="234" t="e">
        <f t="shared" si="0"/>
        <v>#NUM!</v>
      </c>
      <c r="D41" s="235" t="e">
        <f t="shared" si="1"/>
        <v>#NUM!</v>
      </c>
      <c r="E41" s="182" t="e">
        <f>IF(EOMONTH(E40,12)&gt;Basis!$C$22,Basis!$C$22,EOMONTH(E40,12))</f>
        <v>#NUM!</v>
      </c>
      <c r="F41" s="239" t="e">
        <f t="shared" si="12"/>
        <v>#NUM!</v>
      </c>
      <c r="G41" s="234" t="e">
        <f t="shared" si="2"/>
        <v>#NUM!</v>
      </c>
      <c r="H41" s="235" t="e">
        <f t="shared" si="3"/>
        <v>#NUM!</v>
      </c>
      <c r="I41" s="17" t="e">
        <f>IF(EOMONTH(I40,12)&gt;Basis!$D$22,Basis!$D$22,EOMONTH(I40,12))</f>
        <v>#NUM!</v>
      </c>
      <c r="J41" s="19" t="e">
        <f t="shared" si="4"/>
        <v>#NUM!</v>
      </c>
      <c r="K41" s="244" t="e">
        <f>IF(EOMONTH(K40,12)&gt;Basis!$E$22,Basis!$E$22,EOMONTH(K40,12))</f>
        <v>#NUM!</v>
      </c>
      <c r="L41" s="245" t="e">
        <f t="shared" si="5"/>
        <v>#NUM!</v>
      </c>
      <c r="M41" s="19" t="e">
        <f t="shared" si="6"/>
        <v>#NUM!</v>
      </c>
      <c r="N41" s="17" t="e">
        <f>IF(EOMONTH(N40,12)&gt;Basis!$F$22,Basis!$F$22,EOMONTH(N40,12))</f>
        <v>#NUM!</v>
      </c>
      <c r="O41" s="147" t="e">
        <f t="shared" si="7"/>
        <v>#NUM!</v>
      </c>
      <c r="P41" s="191" t="e">
        <f t="shared" si="8"/>
        <v>#NUM!</v>
      </c>
      <c r="Q41" s="150" t="e">
        <f t="shared" si="9"/>
        <v>#NUM!</v>
      </c>
      <c r="R41" s="23" t="e">
        <f t="shared" si="10"/>
        <v>#NUM!</v>
      </c>
    </row>
    <row r="42" spans="1:19" x14ac:dyDescent="0.25">
      <c r="A42" s="224" t="e">
        <f>IF(EOMONTH(A41,12)&gt;Basis!$B$22,Basis!$B$22,EOMONTH(A41,12))</f>
        <v>#NUM!</v>
      </c>
      <c r="B42" s="240" t="e">
        <f t="shared" si="11"/>
        <v>#NUM!</v>
      </c>
      <c r="C42" s="236" t="e">
        <f t="shared" si="0"/>
        <v>#NUM!</v>
      </c>
      <c r="D42" s="237" t="e">
        <f t="shared" si="1"/>
        <v>#NUM!</v>
      </c>
      <c r="E42" s="224" t="e">
        <f>IF(EOMONTH(E41,12)&gt;Basis!$C$22,Basis!$C$22,EOMONTH(E41,12))</f>
        <v>#NUM!</v>
      </c>
      <c r="F42" s="240" t="e">
        <f t="shared" si="12"/>
        <v>#NUM!</v>
      </c>
      <c r="G42" s="236" t="e">
        <f t="shared" si="2"/>
        <v>#NUM!</v>
      </c>
      <c r="H42" s="237" t="e">
        <f t="shared" si="3"/>
        <v>#NUM!</v>
      </c>
      <c r="I42" s="18" t="e">
        <f>IF(EOMONTH(I41,12)&gt;Basis!$D$22,Basis!$D$22,EOMONTH(I41,12))</f>
        <v>#NUM!</v>
      </c>
      <c r="J42" s="20" t="e">
        <f t="shared" si="4"/>
        <v>#NUM!</v>
      </c>
      <c r="K42" s="246" t="e">
        <f>IF(EOMONTH(K41,12)&gt;Basis!$E$22,Basis!$E$22,EOMONTH(K41,12))</f>
        <v>#NUM!</v>
      </c>
      <c r="L42" s="247" t="e">
        <f t="shared" si="5"/>
        <v>#NUM!</v>
      </c>
      <c r="M42" s="20" t="e">
        <f t="shared" si="6"/>
        <v>#NUM!</v>
      </c>
      <c r="N42" s="18" t="e">
        <f>IF(EOMONTH(N41,12)&gt;Basis!$F$22,Basis!$F$22,EOMONTH(N41,12))</f>
        <v>#NUM!</v>
      </c>
      <c r="O42" s="148" t="e">
        <f t="shared" si="7"/>
        <v>#NUM!</v>
      </c>
      <c r="P42" s="192" t="e">
        <f t="shared" si="8"/>
        <v>#NUM!</v>
      </c>
      <c r="Q42" s="150"/>
      <c r="R42" s="24" t="e">
        <f t="shared" si="10"/>
        <v>#NUM!</v>
      </c>
    </row>
    <row r="43" spans="1:19" x14ac:dyDescent="0.25">
      <c r="A43" s="15"/>
      <c r="B43" s="15"/>
      <c r="C43" s="15"/>
      <c r="D43" s="214"/>
      <c r="E43" s="15"/>
      <c r="F43" s="15"/>
      <c r="G43" s="15"/>
      <c r="H43" s="15"/>
      <c r="I43" s="15"/>
      <c r="J43" s="15"/>
      <c r="K43" s="15"/>
      <c r="L43" s="16"/>
      <c r="M43" s="16"/>
      <c r="N43" s="15"/>
      <c r="O43" s="41"/>
      <c r="P43" s="193"/>
      <c r="Q43" s="21" t="s">
        <v>5</v>
      </c>
      <c r="R43" s="43" t="e">
        <f>SUM(R18:R42)</f>
        <v>#NUM!</v>
      </c>
      <c r="S43" s="42"/>
    </row>
    <row r="44" spans="1:19" x14ac:dyDescent="0.25">
      <c r="D44" s="198"/>
      <c r="K44" s="11"/>
      <c r="P44" s="15"/>
      <c r="Q44" s="15"/>
      <c r="R44" s="15"/>
    </row>
    <row r="45" spans="1:19" x14ac:dyDescent="0.25">
      <c r="K45" s="11"/>
    </row>
    <row r="46" spans="1:19" x14ac:dyDescent="0.25">
      <c r="I46" s="11" t="s">
        <v>48</v>
      </c>
    </row>
    <row r="47" spans="1:19" x14ac:dyDescent="0.25">
      <c r="I47" s="11" t="s">
        <v>50</v>
      </c>
    </row>
    <row r="48" spans="1:19" x14ac:dyDescent="0.25">
      <c r="I48" s="11" t="s">
        <v>49</v>
      </c>
    </row>
    <row r="49" spans="11:11" x14ac:dyDescent="0.25">
      <c r="K49" s="11"/>
    </row>
    <row r="50" spans="11:11" x14ac:dyDescent="0.25">
      <c r="K50" s="11"/>
    </row>
    <row r="51" spans="11:11" x14ac:dyDescent="0.25">
      <c r="K51" s="11"/>
    </row>
    <row r="52" spans="11:11" x14ac:dyDescent="0.25">
      <c r="K52" s="11"/>
    </row>
    <row r="53" spans="11:11" x14ac:dyDescent="0.25">
      <c r="K53" s="11"/>
    </row>
    <row r="54" spans="11:11" x14ac:dyDescent="0.25">
      <c r="K54" s="11"/>
    </row>
    <row r="55" spans="11:11" x14ac:dyDescent="0.25">
      <c r="K55" s="11"/>
    </row>
    <row r="56" spans="11:11" x14ac:dyDescent="0.25">
      <c r="K56" s="11"/>
    </row>
    <row r="57" spans="11:11" x14ac:dyDescent="0.25">
      <c r="K57" s="11"/>
    </row>
    <row r="58" spans="11:11" x14ac:dyDescent="0.25">
      <c r="K58" s="11"/>
    </row>
    <row r="59" spans="11:11" x14ac:dyDescent="0.25">
      <c r="K59" s="11"/>
    </row>
  </sheetData>
  <mergeCells count="5">
    <mergeCell ref="I16:J16"/>
    <mergeCell ref="K16:M16"/>
    <mergeCell ref="N16:O16"/>
    <mergeCell ref="E16:H16"/>
    <mergeCell ref="A16:D16"/>
  </mergeCells>
  <pageMargins left="0.7" right="0.7" top="0.75" bottom="0.75" header="0.3" footer="0.3"/>
  <pageSetup paperSize="9" scale="86" orientation="landscape" r:id="rId1"/>
  <headerFooter>
    <oddFooter>&amp;L&amp;"Arial,Regular"&amp;8ear &amp;D &amp;T
Lane Clark &amp;&amp; Peacock Page &amp;P of &amp;N&amp;R&amp;"Arial,Regular"&amp;8&amp;Z&amp;F[&amp;A]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59"/>
  <sheetViews>
    <sheetView zoomScale="70" zoomScaleNormal="70" workbookViewId="0">
      <selection activeCell="A15" sqref="A15:D15"/>
    </sheetView>
  </sheetViews>
  <sheetFormatPr defaultColWidth="9.109375" defaultRowHeight="13.2" x14ac:dyDescent="0.25"/>
  <cols>
    <col min="1" max="1" width="21.88671875" style="9" bestFit="1" customWidth="1"/>
    <col min="2" max="2" width="25" style="9" customWidth="1"/>
    <col min="3" max="3" width="15.6640625" style="9" customWidth="1"/>
    <col min="4" max="4" width="15.88671875" style="9" customWidth="1"/>
    <col min="5" max="5" width="16.109375" style="198" customWidth="1"/>
    <col min="6" max="7" width="13.88671875" style="198" customWidth="1"/>
    <col min="8" max="8" width="21.33203125" style="198" customWidth="1"/>
    <col min="9" max="9" width="22.88671875" style="9" customWidth="1"/>
    <col min="10" max="10" width="12.109375" style="9" customWidth="1"/>
    <col min="11" max="11" width="13.109375" style="9" customWidth="1"/>
    <col min="12" max="12" width="15.88671875" style="9" customWidth="1"/>
    <col min="13" max="13" width="13.109375" style="9" customWidth="1"/>
    <col min="14" max="14" width="20.6640625" style="9" bestFit="1" customWidth="1"/>
    <col min="15" max="15" width="10.44140625" style="9" customWidth="1"/>
    <col min="16" max="16" width="15.109375" style="9" bestFit="1" customWidth="1"/>
    <col min="17" max="17" width="17.5546875" style="9" bestFit="1" customWidth="1"/>
    <col min="18" max="18" width="26" style="9" bestFit="1" customWidth="1"/>
    <col min="19" max="19" width="17.88671875" style="9" customWidth="1"/>
    <col min="20" max="24" width="9.109375" style="9"/>
    <col min="25" max="25" width="12.6640625" style="9" customWidth="1"/>
    <col min="26" max="27" width="9.109375" style="9"/>
    <col min="28" max="34" width="15.6640625" style="9" customWidth="1"/>
    <col min="35" max="16384" width="9.109375" style="9"/>
  </cols>
  <sheetData>
    <row r="2" spans="1:19" x14ac:dyDescent="0.25">
      <c r="A2" s="12" t="s">
        <v>4</v>
      </c>
      <c r="B2" s="13" t="e">
        <f>Accounting_date_prev2</f>
        <v>#NUM!</v>
      </c>
      <c r="C2" s="13"/>
      <c r="D2" s="14"/>
      <c r="G2" s="197"/>
      <c r="H2" s="215"/>
      <c r="Q2" s="10"/>
    </row>
    <row r="3" spans="1:19" x14ac:dyDescent="0.25">
      <c r="C3" s="25"/>
      <c r="D3" s="42"/>
      <c r="Q3" s="25"/>
      <c r="R3" s="25"/>
    </row>
    <row r="4" spans="1:19" x14ac:dyDescent="0.25">
      <c r="A4" s="14" t="s">
        <v>136</v>
      </c>
      <c r="B4" s="164">
        <f>Basis!E21</f>
        <v>42096</v>
      </c>
      <c r="C4" s="250"/>
      <c r="D4" s="249"/>
      <c r="G4" s="197"/>
      <c r="H4" s="199"/>
      <c r="L4" s="10"/>
      <c r="P4" s="14"/>
      <c r="Q4" s="25"/>
      <c r="R4" s="25"/>
    </row>
    <row r="5" spans="1:19" x14ac:dyDescent="0.25">
      <c r="A5" s="14" t="s">
        <v>137</v>
      </c>
      <c r="B5" s="164">
        <f>Basis!D21</f>
        <v>43203</v>
      </c>
      <c r="C5" s="250"/>
      <c r="D5" s="249"/>
      <c r="G5" s="197"/>
      <c r="H5" s="199"/>
      <c r="L5" s="10"/>
      <c r="P5" s="14"/>
      <c r="Q5" s="25"/>
      <c r="R5" s="25"/>
    </row>
    <row r="6" spans="1:19" s="193" customFormat="1" x14ac:dyDescent="0.25">
      <c r="A6" s="173" t="s">
        <v>143</v>
      </c>
      <c r="B6" s="153">
        <f>Basis!C21</f>
        <v>44013</v>
      </c>
      <c r="C6" s="251"/>
      <c r="H6" s="216"/>
      <c r="L6" s="216"/>
    </row>
    <row r="7" spans="1:19" s="193" customFormat="1" x14ac:dyDescent="0.25">
      <c r="A7" s="173" t="s">
        <v>150</v>
      </c>
      <c r="B7" s="153">
        <f>Basis!B21</f>
        <v>44104</v>
      </c>
      <c r="C7" s="251"/>
      <c r="H7" s="216"/>
      <c r="L7" s="216"/>
    </row>
    <row r="8" spans="1:19" x14ac:dyDescent="0.25">
      <c r="A8" s="14"/>
      <c r="B8" s="14"/>
      <c r="C8" s="25"/>
      <c r="D8" s="249"/>
      <c r="G8" s="197"/>
      <c r="H8" s="197"/>
      <c r="M8" s="10">
        <v>42095</v>
      </c>
      <c r="P8" s="14"/>
      <c r="Q8" s="25"/>
      <c r="R8" s="25"/>
    </row>
    <row r="9" spans="1:19" x14ac:dyDescent="0.25">
      <c r="A9" s="12" t="s">
        <v>7</v>
      </c>
      <c r="B9" s="152" t="e">
        <f>IF(B2&gt;=B7, A7, IF(B2&gt;B6, A6, IF(B2&gt;=B5,"2018 RP",IF(B2&gt;=B4,"2015 RP","2012 RP"))))</f>
        <v>#NUM!</v>
      </c>
      <c r="C9" s="252"/>
      <c r="D9" s="249"/>
      <c r="G9" s="197"/>
      <c r="H9" s="197"/>
      <c r="M9" s="10">
        <v>42369</v>
      </c>
      <c r="P9" s="14"/>
      <c r="Q9" s="32"/>
      <c r="R9" s="25"/>
      <c r="S9" s="10"/>
    </row>
    <row r="10" spans="1:19" x14ac:dyDescent="0.25">
      <c r="A10" s="12" t="s">
        <v>138</v>
      </c>
      <c r="B10" s="153" t="e">
        <f>IF(B9=A7,Basis!B22,IF(B9=A6,Basis!C22,IF(B9="2018 RP",Basis!D22,IF(B9="2015 RP",Basis!E22,Basis!F22))))</f>
        <v>#NUM!</v>
      </c>
      <c r="C10" s="251"/>
      <c r="D10" s="249"/>
      <c r="G10" s="197"/>
      <c r="H10" s="199"/>
      <c r="M10" s="10"/>
      <c r="P10" s="14"/>
      <c r="Q10" s="32"/>
      <c r="R10" s="25"/>
      <c r="S10" s="10"/>
    </row>
    <row r="11" spans="1:19" ht="39.6" x14ac:dyDescent="0.25">
      <c r="A11" s="253" t="s">
        <v>155</v>
      </c>
      <c r="B11" s="44" t="e">
        <f>IF(AND(first_month_prev2&gt;=G14,first_month_prev2&lt;=G15),first_month_DRCs_prevyr2*2,first_month_DRCs_prevyr2)</f>
        <v>#NUM!</v>
      </c>
      <c r="C11" s="226" t="s">
        <v>154</v>
      </c>
      <c r="D11" s="44">
        <f>first_month_DRCs_prevyr2</f>
        <v>0</v>
      </c>
      <c r="H11" s="200"/>
      <c r="L11" s="28" t="s">
        <v>15</v>
      </c>
      <c r="M11" s="29" t="e">
        <f>IF(AND($B$2&gt;$M$8,$B$2&lt;$M$9),"yes","no")</f>
        <v>#NUM!</v>
      </c>
    </row>
    <row r="12" spans="1:19" x14ac:dyDescent="0.25">
      <c r="A12" s="9" t="s">
        <v>12</v>
      </c>
      <c r="B12" s="30" t="e">
        <f>DR_prev2</f>
        <v>#NUM!</v>
      </c>
      <c r="C12" s="248"/>
      <c r="D12" s="42"/>
      <c r="H12" s="201"/>
      <c r="L12" s="9" t="s">
        <v>25</v>
      </c>
      <c r="M12" s="33">
        <f>percentage_cont</f>
        <v>0</v>
      </c>
      <c r="Q12" s="79"/>
    </row>
    <row r="13" spans="1:19" x14ac:dyDescent="0.25">
      <c r="A13" s="9" t="s">
        <v>14</v>
      </c>
      <c r="B13" s="30" t="e">
        <f>Inflation_prev2</f>
        <v>#NUM!</v>
      </c>
      <c r="C13" s="248"/>
      <c r="D13" s="42"/>
      <c r="H13" s="201"/>
      <c r="L13" s="9" t="s">
        <v>29</v>
      </c>
      <c r="M13" s="33">
        <f>$M$12/0.11</f>
        <v>0</v>
      </c>
    </row>
    <row r="14" spans="1:19" s="25" customFormat="1" x14ac:dyDescent="0.25">
      <c r="A14" s="34"/>
      <c r="B14" s="34"/>
      <c r="C14" s="34"/>
      <c r="D14" s="34"/>
      <c r="E14" s="173"/>
      <c r="F14" s="205"/>
      <c r="G14" s="206">
        <v>44013</v>
      </c>
      <c r="I14" s="34"/>
      <c r="J14" s="34"/>
      <c r="K14" s="34"/>
      <c r="L14" s="35"/>
      <c r="M14" s="34"/>
      <c r="N14" s="34"/>
      <c r="O14" s="36"/>
      <c r="P14" s="34"/>
      <c r="Q14" s="34"/>
      <c r="R14" s="34"/>
    </row>
    <row r="15" spans="1:19" s="198" customFormat="1" x14ac:dyDescent="0.25">
      <c r="A15" s="197"/>
      <c r="B15" s="197"/>
      <c r="C15" s="197"/>
      <c r="D15" s="197"/>
      <c r="E15" s="207"/>
      <c r="F15" s="207"/>
      <c r="G15" s="208">
        <v>44196</v>
      </c>
      <c r="I15" s="193"/>
      <c r="J15" s="193"/>
      <c r="K15" s="193"/>
      <c r="L15" s="194"/>
      <c r="M15" s="193"/>
      <c r="N15" s="195"/>
      <c r="O15" s="196"/>
      <c r="P15" s="197"/>
      <c r="Q15" s="197"/>
      <c r="R15" s="197"/>
    </row>
    <row r="16" spans="1:19" x14ac:dyDescent="0.25">
      <c r="A16" s="335" t="s">
        <v>150</v>
      </c>
      <c r="B16" s="336"/>
      <c r="C16" s="336"/>
      <c r="D16" s="337"/>
      <c r="E16" s="335" t="s">
        <v>143</v>
      </c>
      <c r="F16" s="336"/>
      <c r="G16" s="336"/>
      <c r="H16" s="337"/>
      <c r="I16" s="340" t="s">
        <v>135</v>
      </c>
      <c r="J16" s="341"/>
      <c r="K16" s="340" t="s">
        <v>8</v>
      </c>
      <c r="L16" s="341"/>
      <c r="M16" s="342"/>
      <c r="N16" s="338" t="s">
        <v>9</v>
      </c>
      <c r="O16" s="339"/>
      <c r="P16" s="31"/>
      <c r="Q16" s="31"/>
      <c r="R16" s="31"/>
    </row>
    <row r="17" spans="1:18" ht="39.6" x14ac:dyDescent="0.25">
      <c r="A17" s="209" t="s">
        <v>4</v>
      </c>
      <c r="B17" s="210" t="s">
        <v>27</v>
      </c>
      <c r="C17" s="231" t="s">
        <v>153</v>
      </c>
      <c r="D17" s="211" t="s">
        <v>144</v>
      </c>
      <c r="E17" s="209" t="s">
        <v>4</v>
      </c>
      <c r="F17" s="210" t="s">
        <v>27</v>
      </c>
      <c r="G17" s="231" t="s">
        <v>153</v>
      </c>
      <c r="H17" s="211" t="s">
        <v>144</v>
      </c>
      <c r="I17" s="217" t="s">
        <v>4</v>
      </c>
      <c r="J17" s="218" t="s">
        <v>27</v>
      </c>
      <c r="K17" s="40" t="s">
        <v>4</v>
      </c>
      <c r="L17" s="38" t="s">
        <v>27</v>
      </c>
      <c r="M17" s="39" t="s">
        <v>28</v>
      </c>
      <c r="N17" s="40" t="s">
        <v>26</v>
      </c>
      <c r="O17" s="38" t="s">
        <v>27</v>
      </c>
      <c r="P17" s="151" t="s">
        <v>6</v>
      </c>
      <c r="Q17" s="21" t="s">
        <v>10</v>
      </c>
      <c r="R17" s="21" t="s">
        <v>11</v>
      </c>
    </row>
    <row r="18" spans="1:18" x14ac:dyDescent="0.25">
      <c r="A18" s="181" t="e">
        <f>$B$2</f>
        <v>#NUM!</v>
      </c>
      <c r="B18" s="238" t="e">
        <f>IF(MONTH(B2)=12,$B$11*12,(($B$11*12)*(1-MONTH($B$2)/12))+(($B$11*12)*(1+$B$13)*(MONTH($B$2)/12)))</f>
        <v>#NUM!</v>
      </c>
      <c r="C18" s="232" t="e">
        <f>MAX(0, (MIN(A18+365,$G$15)-MAX(A18,$G$14)))</f>
        <v>#NUM!</v>
      </c>
      <c r="D18" s="233" t="e">
        <f>B18*(1-50%*C18/365)</f>
        <v>#NUM!</v>
      </c>
      <c r="E18" s="181" t="e">
        <f>$B$2</f>
        <v>#NUM!</v>
      </c>
      <c r="F18" s="238" t="e">
        <f>IF(MONTH(B2)=12,$B$11*12,(($B$11*12)*(1-MONTH($B$2)/12))+(($B$11*12)*(1+$B$13)*(MONTH($B$2)/12)))</f>
        <v>#NUM!</v>
      </c>
      <c r="G18" s="232" t="e">
        <f>MAX(0, (MIN(E18+365,$G$15)-MAX(E18,$G$14)))</f>
        <v>#NUM!</v>
      </c>
      <c r="H18" s="233" t="e">
        <f>F18*(1-50%*G18/365)</f>
        <v>#NUM!</v>
      </c>
      <c r="I18" s="26" t="e">
        <f>$B$2</f>
        <v>#NUM!</v>
      </c>
      <c r="J18" s="27" t="e">
        <f>IF(MONTH(B2)=12,$B$11*12,(($B$11*12)*(1-MONTH($B$2)/12))+(($B$11*12)*(1+$B$13)*(MONTH($B$2)/12)))</f>
        <v>#NUM!</v>
      </c>
      <c r="K18" s="242" t="e">
        <f>$B$2</f>
        <v>#NUM!</v>
      </c>
      <c r="L18" s="243" t="e">
        <f>IF(MONTH(B2)=12,$B$11*12,(($B$11*12)*(1-MONTH($B$2)/12))+(($B$11*12)*(1+$B$13)*(MONTH($B$2)/12)))</f>
        <v>#NUM!</v>
      </c>
      <c r="M18" s="27" t="e">
        <f>$L$18*($M$9-$K$18)/365+$L$18*(1-(($M$9-$K$18)/365))*$M$13</f>
        <v>#NUM!</v>
      </c>
      <c r="N18" s="26" t="e">
        <f>$B$2</f>
        <v>#NUM!</v>
      </c>
      <c r="O18" s="146" t="e">
        <f>IF(MONTH(B2)=12,$B$11*12,(($B$11*12)*(1-MONTH($B$2)/12))+(($B$11*12)*(1+$B$13)*(MONTH($B$2)/12)))</f>
        <v>#NUM!</v>
      </c>
      <c r="P18" s="189" t="e">
        <f>IF($B$9=$A$7, D18, IF($B$9=$A$6, H18, IF($B$9="2018 RP",J18,IF($B$9="2015 RP",IF($M$11="yes",M18,L18),O18))))</f>
        <v>#NUM!</v>
      </c>
      <c r="Q18" s="149" t="e">
        <f>(1+$B$12)^-0.5</f>
        <v>#NUM!</v>
      </c>
      <c r="R18" s="22" t="e">
        <f>P18*Q18</f>
        <v>#NUM!</v>
      </c>
    </row>
    <row r="19" spans="1:18" x14ac:dyDescent="0.25">
      <c r="A19" s="182" t="e">
        <f>IF(EOMONTH(A18,12)&gt;Basis!$B$22,Basis!$B$22,EOMONTH(A18,12))</f>
        <v>#NUM!</v>
      </c>
      <c r="B19" s="239" t="e">
        <f>IF(A20=A19,0,B18*(1+$B$13))*(A20-A19)/365</f>
        <v>#NUM!</v>
      </c>
      <c r="C19" s="234" t="e">
        <f t="shared" ref="C19:C42" si="0">MAX(0, (MIN(A19+365,$G$15)-MAX(A19,$G$14)))</f>
        <v>#NUM!</v>
      </c>
      <c r="D19" s="235" t="e">
        <f t="shared" ref="D19:D42" si="1">B19*(1-50%*C19/365)</f>
        <v>#NUM!</v>
      </c>
      <c r="E19" s="182" t="e">
        <f>IF(EOMONTH(E18,12)&gt;Basis!$C$22,Basis!$C$22,EOMONTH(E18,12))</f>
        <v>#NUM!</v>
      </c>
      <c r="F19" s="239" t="e">
        <f t="shared" ref="F19:F42" si="2">IF(E20=E19,0,F18*(1+$B$13))*(E20-E19)/365</f>
        <v>#NUM!</v>
      </c>
      <c r="G19" s="234" t="e">
        <f t="shared" ref="G19:G42" si="3">MAX(0, (MIN(E19+365,$G$15)-MAX(E19,$G$14)))</f>
        <v>#NUM!</v>
      </c>
      <c r="H19" s="235" t="e">
        <f t="shared" ref="H19:H42" si="4">F19*(1-50%*G19/365)</f>
        <v>#NUM!</v>
      </c>
      <c r="I19" s="17" t="e">
        <f>IF(EOMONTH(I18,12)&gt;Basis!$D$22,Basis!$D$22,EOMONTH(I18,12))</f>
        <v>#NUM!</v>
      </c>
      <c r="J19" s="19" t="e">
        <f t="shared" ref="J19:J42" si="5">IF(I20=I19,0,J18*(1+$B$13))*(I20-I19)/365</f>
        <v>#NUM!</v>
      </c>
      <c r="K19" s="244" t="e">
        <f>IF(EOMONTH(K18,12)&gt;Basis!$E$22,Basis!$E$22,EOMONTH(K18,12))</f>
        <v>#NUM!</v>
      </c>
      <c r="L19" s="245" t="e">
        <f t="shared" ref="L19:L42" si="6">IF(K20=K19,0,L18*(1+$B$13))*(K20-K19)/365</f>
        <v>#NUM!</v>
      </c>
      <c r="M19" s="19" t="e">
        <f t="shared" ref="M19:M42" si="7">L19*$M$13</f>
        <v>#NUM!</v>
      </c>
      <c r="N19" s="17" t="e">
        <f>IF(EOMONTH(N18,12)&gt;Basis!$F$22,Basis!$F$22,EOMONTH(N18,12))</f>
        <v>#NUM!</v>
      </c>
      <c r="O19" s="147" t="e">
        <f t="shared" ref="O19:O42" si="8">IF(N20=N19,0,O18*(1+$B$13))*(N20-N19)/365</f>
        <v>#NUM!</v>
      </c>
      <c r="P19" s="191" t="e">
        <f t="shared" ref="P19:P42" si="9">IF($B$9=$A$7, D19, IF($B$9=$A$6, H19, IF($B$9="2018 RP",J19,IF($B$9="2015 RP",IF($M$11="yes",M19,L19),O19))))</f>
        <v>#NUM!</v>
      </c>
      <c r="Q19" s="150" t="e">
        <f t="shared" ref="Q19:Q41" si="10">Q18*(1+$B$12)^-(0.5+(K20-K19)/2/365)</f>
        <v>#NUM!</v>
      </c>
      <c r="R19" s="23" t="e">
        <f t="shared" ref="R19:R42" si="11">P19*Q19</f>
        <v>#NUM!</v>
      </c>
    </row>
    <row r="20" spans="1:18" x14ac:dyDescent="0.25">
      <c r="A20" s="182" t="e">
        <f>IF(EOMONTH(A19,12)&gt;Basis!$B$22,Basis!$B$22,EOMONTH(A19,12))</f>
        <v>#NUM!</v>
      </c>
      <c r="B20" s="239" t="e">
        <f t="shared" ref="B20:B42" si="12">IF(A21=A20,0,B19*(1+$B$13))*(A21-A20)/365</f>
        <v>#NUM!</v>
      </c>
      <c r="C20" s="234" t="e">
        <f t="shared" si="0"/>
        <v>#NUM!</v>
      </c>
      <c r="D20" s="235" t="e">
        <f t="shared" si="1"/>
        <v>#NUM!</v>
      </c>
      <c r="E20" s="182" t="e">
        <f>IF(EOMONTH(E19,12)&gt;Basis!$C$22,Basis!$C$22,EOMONTH(E19,12))</f>
        <v>#NUM!</v>
      </c>
      <c r="F20" s="239" t="e">
        <f t="shared" si="2"/>
        <v>#NUM!</v>
      </c>
      <c r="G20" s="234" t="e">
        <f t="shared" si="3"/>
        <v>#NUM!</v>
      </c>
      <c r="H20" s="235" t="e">
        <f t="shared" si="4"/>
        <v>#NUM!</v>
      </c>
      <c r="I20" s="17" t="e">
        <f>IF(EOMONTH(I19,12)&gt;Basis!$D$22,Basis!$D$22,EOMONTH(I19,12))</f>
        <v>#NUM!</v>
      </c>
      <c r="J20" s="19" t="e">
        <f t="shared" si="5"/>
        <v>#NUM!</v>
      </c>
      <c r="K20" s="244" t="e">
        <f>IF(EOMONTH(K19,12)&gt;Basis!$E$22,Basis!$E$22,EOMONTH(K19,12))</f>
        <v>#NUM!</v>
      </c>
      <c r="L20" s="245" t="e">
        <f t="shared" si="6"/>
        <v>#NUM!</v>
      </c>
      <c r="M20" s="19" t="e">
        <f t="shared" si="7"/>
        <v>#NUM!</v>
      </c>
      <c r="N20" s="17" t="e">
        <f>IF(EOMONTH(N19,12)&gt;Basis!$F$22,Basis!$F$22,EOMONTH(N19,12))</f>
        <v>#NUM!</v>
      </c>
      <c r="O20" s="147" t="e">
        <f t="shared" si="8"/>
        <v>#NUM!</v>
      </c>
      <c r="P20" s="191" t="e">
        <f t="shared" si="9"/>
        <v>#NUM!</v>
      </c>
      <c r="Q20" s="150" t="e">
        <f t="shared" si="10"/>
        <v>#NUM!</v>
      </c>
      <c r="R20" s="23" t="e">
        <f t="shared" si="11"/>
        <v>#NUM!</v>
      </c>
    </row>
    <row r="21" spans="1:18" x14ac:dyDescent="0.25">
      <c r="A21" s="182" t="e">
        <f>IF(EOMONTH(A20,12)&gt;Basis!$B$22,Basis!$B$22,EOMONTH(A20,12))</f>
        <v>#NUM!</v>
      </c>
      <c r="B21" s="239" t="e">
        <f t="shared" si="12"/>
        <v>#NUM!</v>
      </c>
      <c r="C21" s="234" t="e">
        <f t="shared" si="0"/>
        <v>#NUM!</v>
      </c>
      <c r="D21" s="235" t="e">
        <f t="shared" si="1"/>
        <v>#NUM!</v>
      </c>
      <c r="E21" s="182" t="e">
        <f>IF(EOMONTH(E20,12)&gt;Basis!$C$22,Basis!$C$22,EOMONTH(E20,12))</f>
        <v>#NUM!</v>
      </c>
      <c r="F21" s="239" t="e">
        <f t="shared" si="2"/>
        <v>#NUM!</v>
      </c>
      <c r="G21" s="234" t="e">
        <f t="shared" si="3"/>
        <v>#NUM!</v>
      </c>
      <c r="H21" s="235" t="e">
        <f t="shared" si="4"/>
        <v>#NUM!</v>
      </c>
      <c r="I21" s="17" t="e">
        <f>IF(EOMONTH(I20,12)&gt;Basis!$D$22,Basis!$D$22,EOMONTH(I20,12))</f>
        <v>#NUM!</v>
      </c>
      <c r="J21" s="19" t="e">
        <f t="shared" si="5"/>
        <v>#NUM!</v>
      </c>
      <c r="K21" s="244" t="e">
        <f>IF(EOMONTH(K20,12)&gt;Basis!$E$22,Basis!$E$22,EOMONTH(K20,12))</f>
        <v>#NUM!</v>
      </c>
      <c r="L21" s="245" t="e">
        <f t="shared" si="6"/>
        <v>#NUM!</v>
      </c>
      <c r="M21" s="19" t="e">
        <f t="shared" si="7"/>
        <v>#NUM!</v>
      </c>
      <c r="N21" s="17" t="e">
        <f>IF(EOMONTH(N20,12)&gt;Basis!$F$22,Basis!$F$22,EOMONTH(N20,12))</f>
        <v>#NUM!</v>
      </c>
      <c r="O21" s="147" t="e">
        <f t="shared" si="8"/>
        <v>#NUM!</v>
      </c>
      <c r="P21" s="191" t="e">
        <f t="shared" si="9"/>
        <v>#NUM!</v>
      </c>
      <c r="Q21" s="150" t="e">
        <f t="shared" si="10"/>
        <v>#NUM!</v>
      </c>
      <c r="R21" s="23" t="e">
        <f t="shared" si="11"/>
        <v>#NUM!</v>
      </c>
    </row>
    <row r="22" spans="1:18" x14ac:dyDescent="0.25">
      <c r="A22" s="182" t="e">
        <f>IF(EOMONTH(A21,12)&gt;Basis!$B$22,Basis!$B$22,EOMONTH(A21,12))</f>
        <v>#NUM!</v>
      </c>
      <c r="B22" s="239" t="e">
        <f t="shared" si="12"/>
        <v>#NUM!</v>
      </c>
      <c r="C22" s="234" t="e">
        <f t="shared" si="0"/>
        <v>#NUM!</v>
      </c>
      <c r="D22" s="235" t="e">
        <f t="shared" si="1"/>
        <v>#NUM!</v>
      </c>
      <c r="E22" s="182" t="e">
        <f>IF(EOMONTH(E21,12)&gt;Basis!$C$22,Basis!$C$22,EOMONTH(E21,12))</f>
        <v>#NUM!</v>
      </c>
      <c r="F22" s="239" t="e">
        <f t="shared" si="2"/>
        <v>#NUM!</v>
      </c>
      <c r="G22" s="234" t="e">
        <f t="shared" si="3"/>
        <v>#NUM!</v>
      </c>
      <c r="H22" s="235" t="e">
        <f t="shared" si="4"/>
        <v>#NUM!</v>
      </c>
      <c r="I22" s="17" t="e">
        <f>IF(EOMONTH(I21,12)&gt;Basis!$D$22,Basis!$D$22,EOMONTH(I21,12))</f>
        <v>#NUM!</v>
      </c>
      <c r="J22" s="19" t="e">
        <f t="shared" si="5"/>
        <v>#NUM!</v>
      </c>
      <c r="K22" s="244" t="e">
        <f>IF(EOMONTH(K21,12)&gt;Basis!$E$22,Basis!$E$22,EOMONTH(K21,12))</f>
        <v>#NUM!</v>
      </c>
      <c r="L22" s="245" t="e">
        <f t="shared" si="6"/>
        <v>#NUM!</v>
      </c>
      <c r="M22" s="19" t="e">
        <f t="shared" si="7"/>
        <v>#NUM!</v>
      </c>
      <c r="N22" s="17" t="e">
        <f>IF(EOMONTH(N21,12)&gt;Basis!$F$22,Basis!$F$22,EOMONTH(N21,12))</f>
        <v>#NUM!</v>
      </c>
      <c r="O22" s="147" t="e">
        <f t="shared" si="8"/>
        <v>#NUM!</v>
      </c>
      <c r="P22" s="191" t="e">
        <f t="shared" si="9"/>
        <v>#NUM!</v>
      </c>
      <c r="Q22" s="150" t="e">
        <f t="shared" si="10"/>
        <v>#NUM!</v>
      </c>
      <c r="R22" s="23" t="e">
        <f t="shared" si="11"/>
        <v>#NUM!</v>
      </c>
    </row>
    <row r="23" spans="1:18" x14ac:dyDescent="0.25">
      <c r="A23" s="182" t="e">
        <f>IF(EOMONTH(A22,12)&gt;Basis!$B$22,Basis!$B$22,EOMONTH(A22,12))</f>
        <v>#NUM!</v>
      </c>
      <c r="B23" s="239" t="e">
        <f t="shared" si="12"/>
        <v>#NUM!</v>
      </c>
      <c r="C23" s="234" t="e">
        <f t="shared" si="0"/>
        <v>#NUM!</v>
      </c>
      <c r="D23" s="235" t="e">
        <f t="shared" si="1"/>
        <v>#NUM!</v>
      </c>
      <c r="E23" s="182" t="e">
        <f>IF(EOMONTH(E22,12)&gt;Basis!$C$22,Basis!$C$22,EOMONTH(E22,12))</f>
        <v>#NUM!</v>
      </c>
      <c r="F23" s="239" t="e">
        <f t="shared" si="2"/>
        <v>#NUM!</v>
      </c>
      <c r="G23" s="234" t="e">
        <f t="shared" si="3"/>
        <v>#NUM!</v>
      </c>
      <c r="H23" s="235" t="e">
        <f t="shared" si="4"/>
        <v>#NUM!</v>
      </c>
      <c r="I23" s="17" t="e">
        <f>IF(EOMONTH(I22,12)&gt;Basis!$D$22,Basis!$D$22,EOMONTH(I22,12))</f>
        <v>#NUM!</v>
      </c>
      <c r="J23" s="19" t="e">
        <f t="shared" si="5"/>
        <v>#NUM!</v>
      </c>
      <c r="K23" s="244" t="e">
        <f>IF(EOMONTH(K22,12)&gt;Basis!$E$22,Basis!$E$22,EOMONTH(K22,12))</f>
        <v>#NUM!</v>
      </c>
      <c r="L23" s="245" t="e">
        <f t="shared" si="6"/>
        <v>#NUM!</v>
      </c>
      <c r="M23" s="19" t="e">
        <f t="shared" si="7"/>
        <v>#NUM!</v>
      </c>
      <c r="N23" s="17" t="e">
        <f>IF(EOMONTH(N22,12)&gt;Basis!$F$22,Basis!$F$22,EOMONTH(N22,12))</f>
        <v>#NUM!</v>
      </c>
      <c r="O23" s="147" t="e">
        <f t="shared" si="8"/>
        <v>#NUM!</v>
      </c>
      <c r="P23" s="191" t="e">
        <f t="shared" si="9"/>
        <v>#NUM!</v>
      </c>
      <c r="Q23" s="150" t="e">
        <f t="shared" si="10"/>
        <v>#NUM!</v>
      </c>
      <c r="R23" s="23" t="e">
        <f t="shared" si="11"/>
        <v>#NUM!</v>
      </c>
    </row>
    <row r="24" spans="1:18" x14ac:dyDescent="0.25">
      <c r="A24" s="182" t="e">
        <f>IF(EOMONTH(A23,12)&gt;Basis!$B$22,Basis!$B$22,EOMONTH(A23,12))</f>
        <v>#NUM!</v>
      </c>
      <c r="B24" s="239" t="e">
        <f t="shared" si="12"/>
        <v>#NUM!</v>
      </c>
      <c r="C24" s="234" t="e">
        <f t="shared" si="0"/>
        <v>#NUM!</v>
      </c>
      <c r="D24" s="235" t="e">
        <f t="shared" si="1"/>
        <v>#NUM!</v>
      </c>
      <c r="E24" s="182" t="e">
        <f>IF(EOMONTH(E23,12)&gt;Basis!$C$22,Basis!$C$22,EOMONTH(E23,12))</f>
        <v>#NUM!</v>
      </c>
      <c r="F24" s="239" t="e">
        <f t="shared" si="2"/>
        <v>#NUM!</v>
      </c>
      <c r="G24" s="234" t="e">
        <f t="shared" si="3"/>
        <v>#NUM!</v>
      </c>
      <c r="H24" s="235" t="e">
        <f t="shared" si="4"/>
        <v>#NUM!</v>
      </c>
      <c r="I24" s="17" t="e">
        <f>IF(EOMONTH(I23,12)&gt;Basis!$D$22,Basis!$D$22,EOMONTH(I23,12))</f>
        <v>#NUM!</v>
      </c>
      <c r="J24" s="19" t="e">
        <f t="shared" si="5"/>
        <v>#NUM!</v>
      </c>
      <c r="K24" s="244" t="e">
        <f>IF(EOMONTH(K23,12)&gt;Basis!$E$22,Basis!$E$22,EOMONTH(K23,12))</f>
        <v>#NUM!</v>
      </c>
      <c r="L24" s="245" t="e">
        <f t="shared" si="6"/>
        <v>#NUM!</v>
      </c>
      <c r="M24" s="19" t="e">
        <f t="shared" si="7"/>
        <v>#NUM!</v>
      </c>
      <c r="N24" s="17" t="e">
        <f>IF(EOMONTH(N23,12)&gt;Basis!$F$22,Basis!$F$22,EOMONTH(N23,12))</f>
        <v>#NUM!</v>
      </c>
      <c r="O24" s="147" t="e">
        <f t="shared" si="8"/>
        <v>#NUM!</v>
      </c>
      <c r="P24" s="191" t="e">
        <f t="shared" si="9"/>
        <v>#NUM!</v>
      </c>
      <c r="Q24" s="150" t="e">
        <f t="shared" si="10"/>
        <v>#NUM!</v>
      </c>
      <c r="R24" s="23" t="e">
        <f t="shared" si="11"/>
        <v>#NUM!</v>
      </c>
    </row>
    <row r="25" spans="1:18" x14ac:dyDescent="0.25">
      <c r="A25" s="182" t="e">
        <f>IF(EOMONTH(A24,12)&gt;Basis!$B$22,Basis!$B$22,EOMONTH(A24,12))</f>
        <v>#NUM!</v>
      </c>
      <c r="B25" s="239" t="e">
        <f t="shared" si="12"/>
        <v>#NUM!</v>
      </c>
      <c r="C25" s="234" t="e">
        <f t="shared" si="0"/>
        <v>#NUM!</v>
      </c>
      <c r="D25" s="235" t="e">
        <f t="shared" si="1"/>
        <v>#NUM!</v>
      </c>
      <c r="E25" s="182" t="e">
        <f>IF(EOMONTH(E24,12)&gt;Basis!$C$22,Basis!$C$22,EOMONTH(E24,12))</f>
        <v>#NUM!</v>
      </c>
      <c r="F25" s="239" t="e">
        <f t="shared" si="2"/>
        <v>#NUM!</v>
      </c>
      <c r="G25" s="234" t="e">
        <f t="shared" si="3"/>
        <v>#NUM!</v>
      </c>
      <c r="H25" s="235" t="e">
        <f t="shared" si="4"/>
        <v>#NUM!</v>
      </c>
      <c r="I25" s="17" t="e">
        <f>IF(EOMONTH(I24,12)&gt;Basis!$D$22,Basis!$D$22,EOMONTH(I24,12))</f>
        <v>#NUM!</v>
      </c>
      <c r="J25" s="19" t="e">
        <f t="shared" si="5"/>
        <v>#NUM!</v>
      </c>
      <c r="K25" s="244" t="e">
        <f>IF(EOMONTH(K24,12)&gt;Basis!$E$22,Basis!$E$22,EOMONTH(K24,12))</f>
        <v>#NUM!</v>
      </c>
      <c r="L25" s="245" t="e">
        <f t="shared" si="6"/>
        <v>#NUM!</v>
      </c>
      <c r="M25" s="19" t="e">
        <f t="shared" si="7"/>
        <v>#NUM!</v>
      </c>
      <c r="N25" s="17" t="e">
        <f>IF(EOMONTH(N24,12)&gt;Basis!$F$22,Basis!$F$22,EOMONTH(N24,12))</f>
        <v>#NUM!</v>
      </c>
      <c r="O25" s="147" t="e">
        <f t="shared" si="8"/>
        <v>#NUM!</v>
      </c>
      <c r="P25" s="191" t="e">
        <f t="shared" si="9"/>
        <v>#NUM!</v>
      </c>
      <c r="Q25" s="150" t="e">
        <f t="shared" si="10"/>
        <v>#NUM!</v>
      </c>
      <c r="R25" s="23" t="e">
        <f t="shared" si="11"/>
        <v>#NUM!</v>
      </c>
    </row>
    <row r="26" spans="1:18" x14ac:dyDescent="0.25">
      <c r="A26" s="182" t="e">
        <f>IF(EOMONTH(A25,12)&gt;Basis!$B$22,Basis!$B$22,EOMONTH(A25,12))</f>
        <v>#NUM!</v>
      </c>
      <c r="B26" s="239" t="e">
        <f t="shared" si="12"/>
        <v>#NUM!</v>
      </c>
      <c r="C26" s="234" t="e">
        <f t="shared" si="0"/>
        <v>#NUM!</v>
      </c>
      <c r="D26" s="235" t="e">
        <f t="shared" si="1"/>
        <v>#NUM!</v>
      </c>
      <c r="E26" s="182" t="e">
        <f>IF(EOMONTH(E25,12)&gt;Basis!$C$22,Basis!$C$22,EOMONTH(E25,12))</f>
        <v>#NUM!</v>
      </c>
      <c r="F26" s="239" t="e">
        <f t="shared" si="2"/>
        <v>#NUM!</v>
      </c>
      <c r="G26" s="234" t="e">
        <f t="shared" si="3"/>
        <v>#NUM!</v>
      </c>
      <c r="H26" s="235" t="e">
        <f t="shared" si="4"/>
        <v>#NUM!</v>
      </c>
      <c r="I26" s="17" t="e">
        <f>IF(EOMONTH(I25,12)&gt;Basis!$D$22,Basis!$D$22,EOMONTH(I25,12))</f>
        <v>#NUM!</v>
      </c>
      <c r="J26" s="19" t="e">
        <f t="shared" si="5"/>
        <v>#NUM!</v>
      </c>
      <c r="K26" s="244" t="e">
        <f>IF(EOMONTH(K25,12)&gt;Basis!$E$22,Basis!$E$22,EOMONTH(K25,12))</f>
        <v>#NUM!</v>
      </c>
      <c r="L26" s="245" t="e">
        <f t="shared" si="6"/>
        <v>#NUM!</v>
      </c>
      <c r="M26" s="19" t="e">
        <f t="shared" si="7"/>
        <v>#NUM!</v>
      </c>
      <c r="N26" s="17" t="e">
        <f>IF(EOMONTH(N25,12)&gt;Basis!$F$22,Basis!$F$22,EOMONTH(N25,12))</f>
        <v>#NUM!</v>
      </c>
      <c r="O26" s="147" t="e">
        <f t="shared" si="8"/>
        <v>#NUM!</v>
      </c>
      <c r="P26" s="191" t="e">
        <f t="shared" si="9"/>
        <v>#NUM!</v>
      </c>
      <c r="Q26" s="150" t="e">
        <f t="shared" si="10"/>
        <v>#NUM!</v>
      </c>
      <c r="R26" s="23" t="e">
        <f t="shared" si="11"/>
        <v>#NUM!</v>
      </c>
    </row>
    <row r="27" spans="1:18" x14ac:dyDescent="0.25">
      <c r="A27" s="182" t="e">
        <f>IF(EOMONTH(A26,12)&gt;Basis!$B$22,Basis!$B$22,EOMONTH(A26,12))</f>
        <v>#NUM!</v>
      </c>
      <c r="B27" s="239" t="e">
        <f t="shared" si="12"/>
        <v>#NUM!</v>
      </c>
      <c r="C27" s="234" t="e">
        <f t="shared" si="0"/>
        <v>#NUM!</v>
      </c>
      <c r="D27" s="235" t="e">
        <f t="shared" si="1"/>
        <v>#NUM!</v>
      </c>
      <c r="E27" s="182" t="e">
        <f>IF(EOMONTH(E26,12)&gt;Basis!$C$22,Basis!$C$22,EOMONTH(E26,12))</f>
        <v>#NUM!</v>
      </c>
      <c r="F27" s="239" t="e">
        <f t="shared" si="2"/>
        <v>#NUM!</v>
      </c>
      <c r="G27" s="234" t="e">
        <f t="shared" si="3"/>
        <v>#NUM!</v>
      </c>
      <c r="H27" s="235" t="e">
        <f t="shared" si="4"/>
        <v>#NUM!</v>
      </c>
      <c r="I27" s="17" t="e">
        <f>IF(EOMONTH(I26,12)&gt;Basis!$D$22,Basis!$D$22,EOMONTH(I26,12))</f>
        <v>#NUM!</v>
      </c>
      <c r="J27" s="19" t="e">
        <f t="shared" si="5"/>
        <v>#NUM!</v>
      </c>
      <c r="K27" s="244" t="e">
        <f>IF(EOMONTH(K26,12)&gt;Basis!$E$22,Basis!$E$22,EOMONTH(K26,12))</f>
        <v>#NUM!</v>
      </c>
      <c r="L27" s="245" t="e">
        <f t="shared" si="6"/>
        <v>#NUM!</v>
      </c>
      <c r="M27" s="19" t="e">
        <f t="shared" si="7"/>
        <v>#NUM!</v>
      </c>
      <c r="N27" s="17" t="e">
        <f>IF(EOMONTH(N26,12)&gt;Basis!$F$22,Basis!$F$22,EOMONTH(N26,12))</f>
        <v>#NUM!</v>
      </c>
      <c r="O27" s="147" t="e">
        <f t="shared" si="8"/>
        <v>#NUM!</v>
      </c>
      <c r="P27" s="191" t="e">
        <f t="shared" si="9"/>
        <v>#NUM!</v>
      </c>
      <c r="Q27" s="150" t="e">
        <f t="shared" si="10"/>
        <v>#NUM!</v>
      </c>
      <c r="R27" s="23" t="e">
        <f t="shared" si="11"/>
        <v>#NUM!</v>
      </c>
    </row>
    <row r="28" spans="1:18" x14ac:dyDescent="0.25">
      <c r="A28" s="182" t="e">
        <f>IF(EOMONTH(A27,12)&gt;Basis!$B$22,Basis!$B$22,EOMONTH(A27,12))</f>
        <v>#NUM!</v>
      </c>
      <c r="B28" s="239" t="e">
        <f t="shared" si="12"/>
        <v>#NUM!</v>
      </c>
      <c r="C28" s="234" t="e">
        <f t="shared" si="0"/>
        <v>#NUM!</v>
      </c>
      <c r="D28" s="235" t="e">
        <f t="shared" si="1"/>
        <v>#NUM!</v>
      </c>
      <c r="E28" s="182" t="e">
        <f>IF(EOMONTH(E27,12)&gt;Basis!$C$22,Basis!$C$22,EOMONTH(E27,12))</f>
        <v>#NUM!</v>
      </c>
      <c r="F28" s="239" t="e">
        <f t="shared" si="2"/>
        <v>#NUM!</v>
      </c>
      <c r="G28" s="234" t="e">
        <f t="shared" si="3"/>
        <v>#NUM!</v>
      </c>
      <c r="H28" s="235" t="e">
        <f t="shared" si="4"/>
        <v>#NUM!</v>
      </c>
      <c r="I28" s="17" t="e">
        <f>IF(EOMONTH(I27,12)&gt;Basis!$D$22,Basis!$D$22,EOMONTH(I27,12))</f>
        <v>#NUM!</v>
      </c>
      <c r="J28" s="19" t="e">
        <f t="shared" si="5"/>
        <v>#NUM!</v>
      </c>
      <c r="K28" s="244" t="e">
        <f>IF(EOMONTH(K27,12)&gt;Basis!$E$22,Basis!$E$22,EOMONTH(K27,12))</f>
        <v>#NUM!</v>
      </c>
      <c r="L28" s="245" t="e">
        <f t="shared" si="6"/>
        <v>#NUM!</v>
      </c>
      <c r="M28" s="19" t="e">
        <f t="shared" si="7"/>
        <v>#NUM!</v>
      </c>
      <c r="N28" s="17" t="e">
        <f>IF(EOMONTH(N27,12)&gt;Basis!$F$22,Basis!$F$22,EOMONTH(N27,12))</f>
        <v>#NUM!</v>
      </c>
      <c r="O28" s="147" t="e">
        <f t="shared" si="8"/>
        <v>#NUM!</v>
      </c>
      <c r="P28" s="191" t="e">
        <f t="shared" si="9"/>
        <v>#NUM!</v>
      </c>
      <c r="Q28" s="150" t="e">
        <f t="shared" si="10"/>
        <v>#NUM!</v>
      </c>
      <c r="R28" s="23" t="e">
        <f t="shared" si="11"/>
        <v>#NUM!</v>
      </c>
    </row>
    <row r="29" spans="1:18" x14ac:dyDescent="0.25">
      <c r="A29" s="182" t="e">
        <f>IF(EOMONTH(A28,12)&gt;Basis!$B$22,Basis!$B$22,EOMONTH(A28,12))</f>
        <v>#NUM!</v>
      </c>
      <c r="B29" s="239" t="e">
        <f t="shared" si="12"/>
        <v>#NUM!</v>
      </c>
      <c r="C29" s="234" t="e">
        <f t="shared" si="0"/>
        <v>#NUM!</v>
      </c>
      <c r="D29" s="235" t="e">
        <f t="shared" si="1"/>
        <v>#NUM!</v>
      </c>
      <c r="E29" s="182" t="e">
        <f>IF(EOMONTH(E28,12)&gt;Basis!$C$22,Basis!$C$22,EOMONTH(E28,12))</f>
        <v>#NUM!</v>
      </c>
      <c r="F29" s="239" t="e">
        <f t="shared" si="2"/>
        <v>#NUM!</v>
      </c>
      <c r="G29" s="234" t="e">
        <f t="shared" si="3"/>
        <v>#NUM!</v>
      </c>
      <c r="H29" s="235" t="e">
        <f t="shared" si="4"/>
        <v>#NUM!</v>
      </c>
      <c r="I29" s="17" t="e">
        <f>IF(EOMONTH(I28,12)&gt;Basis!$D$22,Basis!$D$22,EOMONTH(I28,12))</f>
        <v>#NUM!</v>
      </c>
      <c r="J29" s="19" t="e">
        <f t="shared" si="5"/>
        <v>#NUM!</v>
      </c>
      <c r="K29" s="244" t="e">
        <f>IF(EOMONTH(K28,12)&gt;Basis!$E$22,Basis!$E$22,EOMONTH(K28,12))</f>
        <v>#NUM!</v>
      </c>
      <c r="L29" s="245" t="e">
        <f t="shared" si="6"/>
        <v>#NUM!</v>
      </c>
      <c r="M29" s="19" t="e">
        <f t="shared" si="7"/>
        <v>#NUM!</v>
      </c>
      <c r="N29" s="17" t="e">
        <f>IF(EOMONTH(N28,12)&gt;Basis!$F$22,Basis!$F$22,EOMONTH(N28,12))</f>
        <v>#NUM!</v>
      </c>
      <c r="O29" s="147" t="e">
        <f t="shared" si="8"/>
        <v>#NUM!</v>
      </c>
      <c r="P29" s="191" t="e">
        <f t="shared" si="9"/>
        <v>#NUM!</v>
      </c>
      <c r="Q29" s="150" t="e">
        <f t="shared" si="10"/>
        <v>#NUM!</v>
      </c>
      <c r="R29" s="23" t="e">
        <f t="shared" si="11"/>
        <v>#NUM!</v>
      </c>
    </row>
    <row r="30" spans="1:18" x14ac:dyDescent="0.25">
      <c r="A30" s="182" t="e">
        <f>IF(EOMONTH(A29,12)&gt;Basis!$B$22,Basis!$B$22,EOMONTH(A29,12))</f>
        <v>#NUM!</v>
      </c>
      <c r="B30" s="239" t="e">
        <f t="shared" si="12"/>
        <v>#NUM!</v>
      </c>
      <c r="C30" s="234" t="e">
        <f t="shared" si="0"/>
        <v>#NUM!</v>
      </c>
      <c r="D30" s="235" t="e">
        <f t="shared" si="1"/>
        <v>#NUM!</v>
      </c>
      <c r="E30" s="182" t="e">
        <f>IF(EOMONTH(E29,12)&gt;Basis!$C$22,Basis!$C$22,EOMONTH(E29,12))</f>
        <v>#NUM!</v>
      </c>
      <c r="F30" s="239" t="e">
        <f t="shared" si="2"/>
        <v>#NUM!</v>
      </c>
      <c r="G30" s="234" t="e">
        <f t="shared" si="3"/>
        <v>#NUM!</v>
      </c>
      <c r="H30" s="235" t="e">
        <f t="shared" si="4"/>
        <v>#NUM!</v>
      </c>
      <c r="I30" s="17" t="e">
        <f>IF(EOMONTH(I29,12)&gt;Basis!$D$22,Basis!$D$22,EOMONTH(I29,12))</f>
        <v>#NUM!</v>
      </c>
      <c r="J30" s="19" t="e">
        <f t="shared" si="5"/>
        <v>#NUM!</v>
      </c>
      <c r="K30" s="244" t="e">
        <f>IF(EOMONTH(K29,12)&gt;Basis!$E$22,Basis!$E$22,EOMONTH(K29,12))</f>
        <v>#NUM!</v>
      </c>
      <c r="L30" s="245" t="e">
        <f t="shared" si="6"/>
        <v>#NUM!</v>
      </c>
      <c r="M30" s="19" t="e">
        <f t="shared" si="7"/>
        <v>#NUM!</v>
      </c>
      <c r="N30" s="17" t="e">
        <f>IF(EOMONTH(N29,12)&gt;Basis!$F$22,Basis!$F$22,EOMONTH(N29,12))</f>
        <v>#NUM!</v>
      </c>
      <c r="O30" s="147" t="e">
        <f t="shared" si="8"/>
        <v>#NUM!</v>
      </c>
      <c r="P30" s="191" t="e">
        <f t="shared" si="9"/>
        <v>#NUM!</v>
      </c>
      <c r="Q30" s="150" t="e">
        <f t="shared" si="10"/>
        <v>#NUM!</v>
      </c>
      <c r="R30" s="23" t="e">
        <f t="shared" si="11"/>
        <v>#NUM!</v>
      </c>
    </row>
    <row r="31" spans="1:18" x14ac:dyDescent="0.25">
      <c r="A31" s="182" t="e">
        <f>IF(EOMONTH(A30,12)&gt;Basis!$B$22,Basis!$B$22,EOMONTH(A30,12))</f>
        <v>#NUM!</v>
      </c>
      <c r="B31" s="239" t="e">
        <f t="shared" si="12"/>
        <v>#NUM!</v>
      </c>
      <c r="C31" s="234" t="e">
        <f t="shared" si="0"/>
        <v>#NUM!</v>
      </c>
      <c r="D31" s="235" t="e">
        <f t="shared" si="1"/>
        <v>#NUM!</v>
      </c>
      <c r="E31" s="182" t="e">
        <f>IF(EOMONTH(E30,12)&gt;Basis!$C$22,Basis!$C$22,EOMONTH(E30,12))</f>
        <v>#NUM!</v>
      </c>
      <c r="F31" s="239" t="e">
        <f t="shared" si="2"/>
        <v>#NUM!</v>
      </c>
      <c r="G31" s="234" t="e">
        <f t="shared" si="3"/>
        <v>#NUM!</v>
      </c>
      <c r="H31" s="235" t="e">
        <f t="shared" si="4"/>
        <v>#NUM!</v>
      </c>
      <c r="I31" s="17" t="e">
        <f>IF(EOMONTH(I30,12)&gt;Basis!$D$22,Basis!$D$22,EOMONTH(I30,12))</f>
        <v>#NUM!</v>
      </c>
      <c r="J31" s="19" t="e">
        <f t="shared" si="5"/>
        <v>#NUM!</v>
      </c>
      <c r="K31" s="244" t="e">
        <f>IF(EOMONTH(K30,12)&gt;Basis!$E$22,Basis!$E$22,EOMONTH(K30,12))</f>
        <v>#NUM!</v>
      </c>
      <c r="L31" s="245" t="e">
        <f t="shared" si="6"/>
        <v>#NUM!</v>
      </c>
      <c r="M31" s="19" t="e">
        <f t="shared" si="7"/>
        <v>#NUM!</v>
      </c>
      <c r="N31" s="17" t="e">
        <f>IF(EOMONTH(N30,12)&gt;Basis!$F$22,Basis!$F$22,EOMONTH(N30,12))</f>
        <v>#NUM!</v>
      </c>
      <c r="O31" s="147" t="e">
        <f t="shared" si="8"/>
        <v>#NUM!</v>
      </c>
      <c r="P31" s="191" t="e">
        <f t="shared" si="9"/>
        <v>#NUM!</v>
      </c>
      <c r="Q31" s="150" t="e">
        <f t="shared" si="10"/>
        <v>#NUM!</v>
      </c>
      <c r="R31" s="23" t="e">
        <f t="shared" si="11"/>
        <v>#NUM!</v>
      </c>
    </row>
    <row r="32" spans="1:18" x14ac:dyDescent="0.25">
      <c r="A32" s="182" t="e">
        <f>IF(EOMONTH(A31,12)&gt;Basis!$B$22,Basis!$B$22,EOMONTH(A31,12))</f>
        <v>#NUM!</v>
      </c>
      <c r="B32" s="239" t="e">
        <f t="shared" si="12"/>
        <v>#NUM!</v>
      </c>
      <c r="C32" s="234" t="e">
        <f t="shared" si="0"/>
        <v>#NUM!</v>
      </c>
      <c r="D32" s="235" t="e">
        <f t="shared" si="1"/>
        <v>#NUM!</v>
      </c>
      <c r="E32" s="182" t="e">
        <f>IF(EOMONTH(E31,12)&gt;Basis!$C$22,Basis!$C$22,EOMONTH(E31,12))</f>
        <v>#NUM!</v>
      </c>
      <c r="F32" s="239" t="e">
        <f t="shared" si="2"/>
        <v>#NUM!</v>
      </c>
      <c r="G32" s="234" t="e">
        <f t="shared" si="3"/>
        <v>#NUM!</v>
      </c>
      <c r="H32" s="235" t="e">
        <f t="shared" si="4"/>
        <v>#NUM!</v>
      </c>
      <c r="I32" s="17" t="e">
        <f>IF(EOMONTH(I31,12)&gt;Basis!$D$22,Basis!$D$22,EOMONTH(I31,12))</f>
        <v>#NUM!</v>
      </c>
      <c r="J32" s="19" t="e">
        <f t="shared" si="5"/>
        <v>#NUM!</v>
      </c>
      <c r="K32" s="244" t="e">
        <f>IF(EOMONTH(K31,12)&gt;Basis!$E$22,Basis!$E$22,EOMONTH(K31,12))</f>
        <v>#NUM!</v>
      </c>
      <c r="L32" s="245" t="e">
        <f t="shared" si="6"/>
        <v>#NUM!</v>
      </c>
      <c r="M32" s="19" t="e">
        <f t="shared" si="7"/>
        <v>#NUM!</v>
      </c>
      <c r="N32" s="17" t="e">
        <f>IF(EOMONTH(N31,12)&gt;Basis!$F$22,Basis!$F$22,EOMONTH(N31,12))</f>
        <v>#NUM!</v>
      </c>
      <c r="O32" s="147" t="e">
        <f t="shared" si="8"/>
        <v>#NUM!</v>
      </c>
      <c r="P32" s="191" t="e">
        <f t="shared" si="9"/>
        <v>#NUM!</v>
      </c>
      <c r="Q32" s="150" t="e">
        <f t="shared" si="10"/>
        <v>#NUM!</v>
      </c>
      <c r="R32" s="23" t="e">
        <f t="shared" si="11"/>
        <v>#NUM!</v>
      </c>
    </row>
    <row r="33" spans="1:19" x14ac:dyDescent="0.25">
      <c r="A33" s="182" t="e">
        <f>IF(EOMONTH(A32,12)&gt;Basis!$B$22,Basis!$B$22,EOMONTH(A32,12))</f>
        <v>#NUM!</v>
      </c>
      <c r="B33" s="239" t="e">
        <f t="shared" si="12"/>
        <v>#NUM!</v>
      </c>
      <c r="C33" s="234" t="e">
        <f t="shared" si="0"/>
        <v>#NUM!</v>
      </c>
      <c r="D33" s="235" t="e">
        <f t="shared" si="1"/>
        <v>#NUM!</v>
      </c>
      <c r="E33" s="182" t="e">
        <f>IF(EOMONTH(E32,12)&gt;Basis!$C$22,Basis!$C$22,EOMONTH(E32,12))</f>
        <v>#NUM!</v>
      </c>
      <c r="F33" s="239" t="e">
        <f t="shared" si="2"/>
        <v>#NUM!</v>
      </c>
      <c r="G33" s="234" t="e">
        <f t="shared" si="3"/>
        <v>#NUM!</v>
      </c>
      <c r="H33" s="235" t="e">
        <f t="shared" si="4"/>
        <v>#NUM!</v>
      </c>
      <c r="I33" s="17" t="e">
        <f>IF(EOMONTH(I32,12)&gt;Basis!$D$22,Basis!$D$22,EOMONTH(I32,12))</f>
        <v>#NUM!</v>
      </c>
      <c r="J33" s="19" t="e">
        <f t="shared" si="5"/>
        <v>#NUM!</v>
      </c>
      <c r="K33" s="244" t="e">
        <f>IF(EOMONTH(K32,12)&gt;Basis!$E$22,Basis!$E$22,EOMONTH(K32,12))</f>
        <v>#NUM!</v>
      </c>
      <c r="L33" s="245" t="e">
        <f t="shared" si="6"/>
        <v>#NUM!</v>
      </c>
      <c r="M33" s="19" t="e">
        <f t="shared" si="7"/>
        <v>#NUM!</v>
      </c>
      <c r="N33" s="17" t="e">
        <f>IF(EOMONTH(N32,12)&gt;Basis!$F$22,Basis!$F$22,EOMONTH(N32,12))</f>
        <v>#NUM!</v>
      </c>
      <c r="O33" s="147" t="e">
        <f t="shared" si="8"/>
        <v>#NUM!</v>
      </c>
      <c r="P33" s="191" t="e">
        <f t="shared" si="9"/>
        <v>#NUM!</v>
      </c>
      <c r="Q33" s="150" t="e">
        <f t="shared" si="10"/>
        <v>#NUM!</v>
      </c>
      <c r="R33" s="23" t="e">
        <f t="shared" si="11"/>
        <v>#NUM!</v>
      </c>
    </row>
    <row r="34" spans="1:19" x14ac:dyDescent="0.25">
      <c r="A34" s="182" t="e">
        <f>IF(EOMONTH(A33,12)&gt;Basis!$B$22,Basis!$B$22,EOMONTH(A33,12))</f>
        <v>#NUM!</v>
      </c>
      <c r="B34" s="239" t="e">
        <f t="shared" si="12"/>
        <v>#NUM!</v>
      </c>
      <c r="C34" s="234" t="e">
        <f t="shared" si="0"/>
        <v>#NUM!</v>
      </c>
      <c r="D34" s="235" t="e">
        <f t="shared" si="1"/>
        <v>#NUM!</v>
      </c>
      <c r="E34" s="182" t="e">
        <f>IF(EOMONTH(E33,12)&gt;Basis!$C$22,Basis!$C$22,EOMONTH(E33,12))</f>
        <v>#NUM!</v>
      </c>
      <c r="F34" s="239" t="e">
        <f t="shared" si="2"/>
        <v>#NUM!</v>
      </c>
      <c r="G34" s="234" t="e">
        <f t="shared" si="3"/>
        <v>#NUM!</v>
      </c>
      <c r="H34" s="235" t="e">
        <f t="shared" si="4"/>
        <v>#NUM!</v>
      </c>
      <c r="I34" s="17" t="e">
        <f>IF(EOMONTH(I33,12)&gt;Basis!$D$22,Basis!$D$22,EOMONTH(I33,12))</f>
        <v>#NUM!</v>
      </c>
      <c r="J34" s="19" t="e">
        <f t="shared" si="5"/>
        <v>#NUM!</v>
      </c>
      <c r="K34" s="244" t="e">
        <f>IF(EOMONTH(K33,12)&gt;Basis!$E$22,Basis!$E$22,EOMONTH(K33,12))</f>
        <v>#NUM!</v>
      </c>
      <c r="L34" s="245" t="e">
        <f t="shared" si="6"/>
        <v>#NUM!</v>
      </c>
      <c r="M34" s="19" t="e">
        <f t="shared" si="7"/>
        <v>#NUM!</v>
      </c>
      <c r="N34" s="17" t="e">
        <f>IF(EOMONTH(N33,12)&gt;Basis!$F$22,Basis!$F$22,EOMONTH(N33,12))</f>
        <v>#NUM!</v>
      </c>
      <c r="O34" s="147" t="e">
        <f t="shared" si="8"/>
        <v>#NUM!</v>
      </c>
      <c r="P34" s="191" t="e">
        <f t="shared" si="9"/>
        <v>#NUM!</v>
      </c>
      <c r="Q34" s="150" t="e">
        <f t="shared" si="10"/>
        <v>#NUM!</v>
      </c>
      <c r="R34" s="23" t="e">
        <f t="shared" si="11"/>
        <v>#NUM!</v>
      </c>
    </row>
    <row r="35" spans="1:19" x14ac:dyDescent="0.25">
      <c r="A35" s="182" t="e">
        <f>IF(EOMONTH(A34,12)&gt;Basis!$B$22,Basis!$B$22,EOMONTH(A34,12))</f>
        <v>#NUM!</v>
      </c>
      <c r="B35" s="239" t="e">
        <f t="shared" si="12"/>
        <v>#NUM!</v>
      </c>
      <c r="C35" s="234" t="e">
        <f t="shared" si="0"/>
        <v>#NUM!</v>
      </c>
      <c r="D35" s="235" t="e">
        <f t="shared" si="1"/>
        <v>#NUM!</v>
      </c>
      <c r="E35" s="182" t="e">
        <f>IF(EOMONTH(E34,12)&gt;Basis!$C$22,Basis!$C$22,EOMONTH(E34,12))</f>
        <v>#NUM!</v>
      </c>
      <c r="F35" s="239" t="e">
        <f t="shared" si="2"/>
        <v>#NUM!</v>
      </c>
      <c r="G35" s="234" t="e">
        <f t="shared" si="3"/>
        <v>#NUM!</v>
      </c>
      <c r="H35" s="235" t="e">
        <f t="shared" si="4"/>
        <v>#NUM!</v>
      </c>
      <c r="I35" s="17" t="e">
        <f>IF(EOMONTH(I34,12)&gt;Basis!$D$22,Basis!$D$22,EOMONTH(I34,12))</f>
        <v>#NUM!</v>
      </c>
      <c r="J35" s="19" t="e">
        <f t="shared" si="5"/>
        <v>#NUM!</v>
      </c>
      <c r="K35" s="244" t="e">
        <f>IF(EOMONTH(K34,12)&gt;Basis!$E$22,Basis!$E$22,EOMONTH(K34,12))</f>
        <v>#NUM!</v>
      </c>
      <c r="L35" s="245" t="e">
        <f t="shared" si="6"/>
        <v>#NUM!</v>
      </c>
      <c r="M35" s="19" t="e">
        <f t="shared" si="7"/>
        <v>#NUM!</v>
      </c>
      <c r="N35" s="17" t="e">
        <f>IF(EOMONTH(N34,12)&gt;Basis!$F$22,Basis!$F$22,EOMONTH(N34,12))</f>
        <v>#NUM!</v>
      </c>
      <c r="O35" s="147" t="e">
        <f t="shared" si="8"/>
        <v>#NUM!</v>
      </c>
      <c r="P35" s="191" t="e">
        <f t="shared" si="9"/>
        <v>#NUM!</v>
      </c>
      <c r="Q35" s="150" t="e">
        <f t="shared" si="10"/>
        <v>#NUM!</v>
      </c>
      <c r="R35" s="23" t="e">
        <f t="shared" si="11"/>
        <v>#NUM!</v>
      </c>
    </row>
    <row r="36" spans="1:19" x14ac:dyDescent="0.25">
      <c r="A36" s="182" t="e">
        <f>IF(EOMONTH(A35,12)&gt;Basis!$B$22,Basis!$B$22,EOMONTH(A35,12))</f>
        <v>#NUM!</v>
      </c>
      <c r="B36" s="239" t="e">
        <f t="shared" si="12"/>
        <v>#NUM!</v>
      </c>
      <c r="C36" s="234" t="e">
        <f t="shared" si="0"/>
        <v>#NUM!</v>
      </c>
      <c r="D36" s="235" t="e">
        <f t="shared" si="1"/>
        <v>#NUM!</v>
      </c>
      <c r="E36" s="182" t="e">
        <f>IF(EOMONTH(E35,12)&gt;Basis!$C$22,Basis!$C$22,EOMONTH(E35,12))</f>
        <v>#NUM!</v>
      </c>
      <c r="F36" s="239" t="e">
        <f t="shared" si="2"/>
        <v>#NUM!</v>
      </c>
      <c r="G36" s="234" t="e">
        <f t="shared" si="3"/>
        <v>#NUM!</v>
      </c>
      <c r="H36" s="235" t="e">
        <f t="shared" si="4"/>
        <v>#NUM!</v>
      </c>
      <c r="I36" s="17" t="e">
        <f>IF(EOMONTH(I35,12)&gt;Basis!$D$22,Basis!$D$22,EOMONTH(I35,12))</f>
        <v>#NUM!</v>
      </c>
      <c r="J36" s="19" t="e">
        <f t="shared" si="5"/>
        <v>#NUM!</v>
      </c>
      <c r="K36" s="244" t="e">
        <f>IF(EOMONTH(K35,12)&gt;Basis!$E$22,Basis!$E$22,EOMONTH(K35,12))</f>
        <v>#NUM!</v>
      </c>
      <c r="L36" s="245" t="e">
        <f t="shared" si="6"/>
        <v>#NUM!</v>
      </c>
      <c r="M36" s="19" t="e">
        <f t="shared" si="7"/>
        <v>#NUM!</v>
      </c>
      <c r="N36" s="17" t="e">
        <f>IF(EOMONTH(N35,12)&gt;Basis!$F$22,Basis!$F$22,EOMONTH(N35,12))</f>
        <v>#NUM!</v>
      </c>
      <c r="O36" s="147" t="e">
        <f t="shared" si="8"/>
        <v>#NUM!</v>
      </c>
      <c r="P36" s="191" t="e">
        <f t="shared" si="9"/>
        <v>#NUM!</v>
      </c>
      <c r="Q36" s="150" t="e">
        <f t="shared" si="10"/>
        <v>#NUM!</v>
      </c>
      <c r="R36" s="23" t="e">
        <f t="shared" si="11"/>
        <v>#NUM!</v>
      </c>
    </row>
    <row r="37" spans="1:19" x14ac:dyDescent="0.25">
      <c r="A37" s="182" t="e">
        <f>IF(EOMONTH(A36,12)&gt;Basis!$B$22,Basis!$B$22,EOMONTH(A36,12))</f>
        <v>#NUM!</v>
      </c>
      <c r="B37" s="239" t="e">
        <f t="shared" si="12"/>
        <v>#NUM!</v>
      </c>
      <c r="C37" s="234" t="e">
        <f t="shared" si="0"/>
        <v>#NUM!</v>
      </c>
      <c r="D37" s="235" t="e">
        <f t="shared" si="1"/>
        <v>#NUM!</v>
      </c>
      <c r="E37" s="182" t="e">
        <f>IF(EOMONTH(E36,12)&gt;Basis!$C$22,Basis!$C$22,EOMONTH(E36,12))</f>
        <v>#NUM!</v>
      </c>
      <c r="F37" s="239" t="e">
        <f t="shared" si="2"/>
        <v>#NUM!</v>
      </c>
      <c r="G37" s="234" t="e">
        <f t="shared" si="3"/>
        <v>#NUM!</v>
      </c>
      <c r="H37" s="235" t="e">
        <f t="shared" si="4"/>
        <v>#NUM!</v>
      </c>
      <c r="I37" s="17" t="e">
        <f>IF(EOMONTH(I36,12)&gt;Basis!$D$22,Basis!$D$22,EOMONTH(I36,12))</f>
        <v>#NUM!</v>
      </c>
      <c r="J37" s="19" t="e">
        <f t="shared" si="5"/>
        <v>#NUM!</v>
      </c>
      <c r="K37" s="244" t="e">
        <f>IF(EOMONTH(K36,12)&gt;Basis!$E$22,Basis!$E$22,EOMONTH(K36,12))</f>
        <v>#NUM!</v>
      </c>
      <c r="L37" s="245" t="e">
        <f t="shared" si="6"/>
        <v>#NUM!</v>
      </c>
      <c r="M37" s="19" t="e">
        <f t="shared" si="7"/>
        <v>#NUM!</v>
      </c>
      <c r="N37" s="17" t="e">
        <f>IF(EOMONTH(N36,12)&gt;Basis!$F$22,Basis!$F$22,EOMONTH(N36,12))</f>
        <v>#NUM!</v>
      </c>
      <c r="O37" s="147" t="e">
        <f t="shared" si="8"/>
        <v>#NUM!</v>
      </c>
      <c r="P37" s="191" t="e">
        <f t="shared" si="9"/>
        <v>#NUM!</v>
      </c>
      <c r="Q37" s="150" t="e">
        <f t="shared" si="10"/>
        <v>#NUM!</v>
      </c>
      <c r="R37" s="23" t="e">
        <f t="shared" si="11"/>
        <v>#NUM!</v>
      </c>
    </row>
    <row r="38" spans="1:19" x14ac:dyDescent="0.25">
      <c r="A38" s="182" t="e">
        <f>IF(EOMONTH(A37,12)&gt;Basis!$B$22,Basis!$B$22,EOMONTH(A37,12))</f>
        <v>#NUM!</v>
      </c>
      <c r="B38" s="239" t="e">
        <f t="shared" si="12"/>
        <v>#NUM!</v>
      </c>
      <c r="C38" s="234" t="e">
        <f t="shared" si="0"/>
        <v>#NUM!</v>
      </c>
      <c r="D38" s="235" t="e">
        <f t="shared" si="1"/>
        <v>#NUM!</v>
      </c>
      <c r="E38" s="182" t="e">
        <f>IF(EOMONTH(E37,12)&gt;Basis!$C$22,Basis!$C$22,EOMONTH(E37,12))</f>
        <v>#NUM!</v>
      </c>
      <c r="F38" s="239" t="e">
        <f t="shared" si="2"/>
        <v>#NUM!</v>
      </c>
      <c r="G38" s="234" t="e">
        <f t="shared" si="3"/>
        <v>#NUM!</v>
      </c>
      <c r="H38" s="235" t="e">
        <f t="shared" si="4"/>
        <v>#NUM!</v>
      </c>
      <c r="I38" s="17" t="e">
        <f>IF(EOMONTH(I37,12)&gt;Basis!$D$22,Basis!$D$22,EOMONTH(I37,12))</f>
        <v>#NUM!</v>
      </c>
      <c r="J38" s="19" t="e">
        <f t="shared" si="5"/>
        <v>#NUM!</v>
      </c>
      <c r="K38" s="244" t="e">
        <f>IF(EOMONTH(K37,12)&gt;Basis!$E$22,Basis!$E$22,EOMONTH(K37,12))</f>
        <v>#NUM!</v>
      </c>
      <c r="L38" s="245" t="e">
        <f t="shared" si="6"/>
        <v>#NUM!</v>
      </c>
      <c r="M38" s="19" t="e">
        <f t="shared" si="7"/>
        <v>#NUM!</v>
      </c>
      <c r="N38" s="17" t="e">
        <f>IF(EOMONTH(N37,12)&gt;Basis!$F$22,Basis!$F$22,EOMONTH(N37,12))</f>
        <v>#NUM!</v>
      </c>
      <c r="O38" s="147" t="e">
        <f t="shared" si="8"/>
        <v>#NUM!</v>
      </c>
      <c r="P38" s="191" t="e">
        <f t="shared" si="9"/>
        <v>#NUM!</v>
      </c>
      <c r="Q38" s="150" t="e">
        <f t="shared" si="10"/>
        <v>#NUM!</v>
      </c>
      <c r="R38" s="23" t="e">
        <f t="shared" si="11"/>
        <v>#NUM!</v>
      </c>
    </row>
    <row r="39" spans="1:19" x14ac:dyDescent="0.25">
      <c r="A39" s="182" t="e">
        <f>IF(EOMONTH(A38,12)&gt;Basis!$B$22,Basis!$B$22,EOMONTH(A38,12))</f>
        <v>#NUM!</v>
      </c>
      <c r="B39" s="239" t="e">
        <f t="shared" si="12"/>
        <v>#NUM!</v>
      </c>
      <c r="C39" s="234" t="e">
        <f t="shared" si="0"/>
        <v>#NUM!</v>
      </c>
      <c r="D39" s="235" t="e">
        <f t="shared" si="1"/>
        <v>#NUM!</v>
      </c>
      <c r="E39" s="182" t="e">
        <f>IF(EOMONTH(E38,12)&gt;Basis!$C$22,Basis!$C$22,EOMONTH(E38,12))</f>
        <v>#NUM!</v>
      </c>
      <c r="F39" s="239" t="e">
        <f t="shared" si="2"/>
        <v>#NUM!</v>
      </c>
      <c r="G39" s="234" t="e">
        <f t="shared" si="3"/>
        <v>#NUM!</v>
      </c>
      <c r="H39" s="235" t="e">
        <f t="shared" si="4"/>
        <v>#NUM!</v>
      </c>
      <c r="I39" s="17" t="e">
        <f>IF(EOMONTH(I38,12)&gt;Basis!$D$22,Basis!$D$22,EOMONTH(I38,12))</f>
        <v>#NUM!</v>
      </c>
      <c r="J39" s="19" t="e">
        <f t="shared" si="5"/>
        <v>#NUM!</v>
      </c>
      <c r="K39" s="244" t="e">
        <f>IF(EOMONTH(K38,12)&gt;Basis!$E$22,Basis!$E$22,EOMONTH(K38,12))</f>
        <v>#NUM!</v>
      </c>
      <c r="L39" s="245" t="e">
        <f t="shared" si="6"/>
        <v>#NUM!</v>
      </c>
      <c r="M39" s="19" t="e">
        <f t="shared" si="7"/>
        <v>#NUM!</v>
      </c>
      <c r="N39" s="17" t="e">
        <f>IF(EOMONTH(N38,12)&gt;Basis!$F$22,Basis!$F$22,EOMONTH(N38,12))</f>
        <v>#NUM!</v>
      </c>
      <c r="O39" s="147" t="e">
        <f t="shared" si="8"/>
        <v>#NUM!</v>
      </c>
      <c r="P39" s="191" t="e">
        <f t="shared" si="9"/>
        <v>#NUM!</v>
      </c>
      <c r="Q39" s="150" t="e">
        <f t="shared" si="10"/>
        <v>#NUM!</v>
      </c>
      <c r="R39" s="23" t="e">
        <f t="shared" si="11"/>
        <v>#NUM!</v>
      </c>
    </row>
    <row r="40" spans="1:19" x14ac:dyDescent="0.25">
      <c r="A40" s="182" t="e">
        <f>IF(EOMONTH(A39,12)&gt;Basis!$B$22,Basis!$B$22,EOMONTH(A39,12))</f>
        <v>#NUM!</v>
      </c>
      <c r="B40" s="239" t="e">
        <f t="shared" si="12"/>
        <v>#NUM!</v>
      </c>
      <c r="C40" s="234" t="e">
        <f t="shared" si="0"/>
        <v>#NUM!</v>
      </c>
      <c r="D40" s="235" t="e">
        <f t="shared" si="1"/>
        <v>#NUM!</v>
      </c>
      <c r="E40" s="182" t="e">
        <f>IF(EOMONTH(E39,12)&gt;Basis!$C$22,Basis!$C$22,EOMONTH(E39,12))</f>
        <v>#NUM!</v>
      </c>
      <c r="F40" s="239" t="e">
        <f t="shared" si="2"/>
        <v>#NUM!</v>
      </c>
      <c r="G40" s="234" t="e">
        <f t="shared" si="3"/>
        <v>#NUM!</v>
      </c>
      <c r="H40" s="235" t="e">
        <f t="shared" si="4"/>
        <v>#NUM!</v>
      </c>
      <c r="I40" s="17" t="e">
        <f>IF(EOMONTH(I39,12)&gt;Basis!$D$22,Basis!$D$22,EOMONTH(I39,12))</f>
        <v>#NUM!</v>
      </c>
      <c r="J40" s="19" t="e">
        <f t="shared" si="5"/>
        <v>#NUM!</v>
      </c>
      <c r="K40" s="244" t="e">
        <f>IF(EOMONTH(K39,12)&gt;Basis!$E$22,Basis!$E$22,EOMONTH(K39,12))</f>
        <v>#NUM!</v>
      </c>
      <c r="L40" s="245" t="e">
        <f t="shared" si="6"/>
        <v>#NUM!</v>
      </c>
      <c r="M40" s="19" t="e">
        <f t="shared" si="7"/>
        <v>#NUM!</v>
      </c>
      <c r="N40" s="17" t="e">
        <f>IF(EOMONTH(N39,12)&gt;Basis!$F$22,Basis!$F$22,EOMONTH(N39,12))</f>
        <v>#NUM!</v>
      </c>
      <c r="O40" s="147" t="e">
        <f t="shared" si="8"/>
        <v>#NUM!</v>
      </c>
      <c r="P40" s="191" t="e">
        <f t="shared" si="9"/>
        <v>#NUM!</v>
      </c>
      <c r="Q40" s="150" t="e">
        <f t="shared" si="10"/>
        <v>#NUM!</v>
      </c>
      <c r="R40" s="23" t="e">
        <f t="shared" si="11"/>
        <v>#NUM!</v>
      </c>
    </row>
    <row r="41" spans="1:19" x14ac:dyDescent="0.25">
      <c r="A41" s="182" t="e">
        <f>IF(EOMONTH(A40,12)&gt;Basis!$B$22,Basis!$B$22,EOMONTH(A40,12))</f>
        <v>#NUM!</v>
      </c>
      <c r="B41" s="239" t="e">
        <f t="shared" si="12"/>
        <v>#NUM!</v>
      </c>
      <c r="C41" s="234" t="e">
        <f t="shared" si="0"/>
        <v>#NUM!</v>
      </c>
      <c r="D41" s="235" t="e">
        <f t="shared" si="1"/>
        <v>#NUM!</v>
      </c>
      <c r="E41" s="182" t="e">
        <f>IF(EOMONTH(E40,12)&gt;Basis!$C$22,Basis!$C$22,EOMONTH(E40,12))</f>
        <v>#NUM!</v>
      </c>
      <c r="F41" s="239" t="e">
        <f t="shared" si="2"/>
        <v>#NUM!</v>
      </c>
      <c r="G41" s="234" t="e">
        <f t="shared" si="3"/>
        <v>#NUM!</v>
      </c>
      <c r="H41" s="235" t="e">
        <f t="shared" si="4"/>
        <v>#NUM!</v>
      </c>
      <c r="I41" s="17" t="e">
        <f>IF(EOMONTH(I40,12)&gt;Basis!$D$22,Basis!$D$22,EOMONTH(I40,12))</f>
        <v>#NUM!</v>
      </c>
      <c r="J41" s="19" t="e">
        <f t="shared" si="5"/>
        <v>#NUM!</v>
      </c>
      <c r="K41" s="244" t="e">
        <f>IF(EOMONTH(K40,12)&gt;Basis!$E$22,Basis!$E$22,EOMONTH(K40,12))</f>
        <v>#NUM!</v>
      </c>
      <c r="L41" s="245" t="e">
        <f t="shared" si="6"/>
        <v>#NUM!</v>
      </c>
      <c r="M41" s="19" t="e">
        <f t="shared" si="7"/>
        <v>#NUM!</v>
      </c>
      <c r="N41" s="17" t="e">
        <f>IF(EOMONTH(N40,12)&gt;Basis!$F$22,Basis!$F$22,EOMONTH(N40,12))</f>
        <v>#NUM!</v>
      </c>
      <c r="O41" s="147" t="e">
        <f t="shared" si="8"/>
        <v>#NUM!</v>
      </c>
      <c r="P41" s="191" t="e">
        <f t="shared" si="9"/>
        <v>#NUM!</v>
      </c>
      <c r="Q41" s="150" t="e">
        <f t="shared" si="10"/>
        <v>#NUM!</v>
      </c>
      <c r="R41" s="23" t="e">
        <f t="shared" si="11"/>
        <v>#NUM!</v>
      </c>
    </row>
    <row r="42" spans="1:19" x14ac:dyDescent="0.25">
      <c r="A42" s="224" t="e">
        <f>IF(EOMONTH(A41,12)&gt;Basis!$B$22,Basis!$B$22,EOMONTH(A41,12))</f>
        <v>#NUM!</v>
      </c>
      <c r="B42" s="240" t="e">
        <f t="shared" si="12"/>
        <v>#NUM!</v>
      </c>
      <c r="C42" s="236" t="e">
        <f t="shared" si="0"/>
        <v>#NUM!</v>
      </c>
      <c r="D42" s="237" t="e">
        <f t="shared" si="1"/>
        <v>#NUM!</v>
      </c>
      <c r="E42" s="224" t="e">
        <f>IF(EOMONTH(E41,12)&gt;Basis!$C$22,Basis!$C$22,EOMONTH(E41,12))</f>
        <v>#NUM!</v>
      </c>
      <c r="F42" s="240" t="e">
        <f t="shared" si="2"/>
        <v>#NUM!</v>
      </c>
      <c r="G42" s="236" t="e">
        <f t="shared" si="3"/>
        <v>#NUM!</v>
      </c>
      <c r="H42" s="237" t="e">
        <f t="shared" si="4"/>
        <v>#NUM!</v>
      </c>
      <c r="I42" s="18" t="e">
        <f>IF(EOMONTH(I41,12)&gt;Basis!$D$22,Basis!$D$22,EOMONTH(I41,12))</f>
        <v>#NUM!</v>
      </c>
      <c r="J42" s="20" t="e">
        <f t="shared" si="5"/>
        <v>#NUM!</v>
      </c>
      <c r="K42" s="246" t="e">
        <f>IF(EOMONTH(K41,12)&gt;Basis!$E$22,Basis!$E$22,EOMONTH(K41,12))</f>
        <v>#NUM!</v>
      </c>
      <c r="L42" s="247" t="e">
        <f t="shared" si="6"/>
        <v>#NUM!</v>
      </c>
      <c r="M42" s="20" t="e">
        <f t="shared" si="7"/>
        <v>#NUM!</v>
      </c>
      <c r="N42" s="18" t="e">
        <f>IF(EOMONTH(N41,12)&gt;Basis!$F$22,Basis!$F$22,EOMONTH(N41,12))</f>
        <v>#NUM!</v>
      </c>
      <c r="O42" s="148" t="e">
        <f t="shared" si="8"/>
        <v>#NUM!</v>
      </c>
      <c r="P42" s="192" t="e">
        <f t="shared" si="9"/>
        <v>#NUM!</v>
      </c>
      <c r="Q42" s="213"/>
      <c r="R42" s="24" t="e">
        <f t="shared" si="11"/>
        <v>#NUM!</v>
      </c>
    </row>
    <row r="43" spans="1:19" x14ac:dyDescent="0.25">
      <c r="A43" s="214"/>
      <c r="B43" s="214"/>
      <c r="C43" s="214"/>
      <c r="D43" s="214"/>
      <c r="E43" s="214"/>
      <c r="F43" s="214"/>
      <c r="G43" s="214"/>
      <c r="H43" s="214"/>
      <c r="I43" s="15"/>
      <c r="J43" s="15"/>
      <c r="K43" s="15"/>
      <c r="L43" s="16"/>
      <c r="M43" s="16"/>
      <c r="N43" s="15"/>
      <c r="O43" s="41"/>
      <c r="P43" s="193"/>
      <c r="Q43" s="230" t="s">
        <v>5</v>
      </c>
      <c r="R43" s="43" t="e">
        <f>SUM(R18:R42)</f>
        <v>#NUM!</v>
      </c>
      <c r="S43" s="42"/>
    </row>
    <row r="44" spans="1:19" x14ac:dyDescent="0.25">
      <c r="A44" s="198"/>
      <c r="B44" s="198"/>
      <c r="C44" s="198"/>
      <c r="D44" s="198"/>
      <c r="K44" s="11"/>
      <c r="O44" s="37"/>
      <c r="P44" s="193"/>
      <c r="Q44" s="228"/>
      <c r="R44" s="15"/>
    </row>
    <row r="45" spans="1:19" x14ac:dyDescent="0.25">
      <c r="A45" s="198"/>
      <c r="B45" s="198"/>
      <c r="C45" s="198"/>
      <c r="D45" s="198"/>
      <c r="K45" s="11"/>
      <c r="O45" s="37"/>
      <c r="P45" s="193"/>
      <c r="Q45" s="229"/>
    </row>
    <row r="46" spans="1:19" x14ac:dyDescent="0.25">
      <c r="A46" s="198"/>
      <c r="B46" s="198"/>
      <c r="C46" s="198"/>
      <c r="D46" s="198"/>
      <c r="I46" s="11" t="s">
        <v>48</v>
      </c>
      <c r="O46" s="37"/>
      <c r="P46" s="193"/>
      <c r="Q46" s="229"/>
    </row>
    <row r="47" spans="1:19" x14ac:dyDescent="0.25">
      <c r="A47" s="198"/>
      <c r="B47" s="198"/>
      <c r="C47" s="198"/>
      <c r="D47" s="198"/>
      <c r="I47" s="11" t="s">
        <v>50</v>
      </c>
      <c r="O47" s="37"/>
      <c r="P47" s="193"/>
      <c r="Q47" s="229"/>
    </row>
    <row r="48" spans="1:19" x14ac:dyDescent="0.25">
      <c r="A48" s="198"/>
      <c r="B48" s="198"/>
      <c r="C48" s="198"/>
      <c r="D48" s="198"/>
      <c r="I48" s="11" t="s">
        <v>49</v>
      </c>
      <c r="P48" s="214"/>
      <c r="Q48" s="198"/>
    </row>
    <row r="49" spans="11:17" x14ac:dyDescent="0.25">
      <c r="K49" s="11"/>
      <c r="P49" s="198"/>
      <c r="Q49" s="198"/>
    </row>
    <row r="50" spans="11:17" x14ac:dyDescent="0.25">
      <c r="K50" s="11"/>
      <c r="P50" s="198"/>
      <c r="Q50" s="198"/>
    </row>
    <row r="51" spans="11:17" x14ac:dyDescent="0.25">
      <c r="K51" s="11"/>
      <c r="P51" s="198"/>
      <c r="Q51" s="198"/>
    </row>
    <row r="52" spans="11:17" x14ac:dyDescent="0.25">
      <c r="K52" s="11"/>
    </row>
    <row r="53" spans="11:17" x14ac:dyDescent="0.25">
      <c r="K53" s="11"/>
    </row>
    <row r="54" spans="11:17" x14ac:dyDescent="0.25">
      <c r="K54" s="11"/>
    </row>
    <row r="55" spans="11:17" x14ac:dyDescent="0.25">
      <c r="K55" s="11"/>
    </row>
    <row r="56" spans="11:17" x14ac:dyDescent="0.25">
      <c r="K56" s="11"/>
    </row>
    <row r="57" spans="11:17" x14ac:dyDescent="0.25">
      <c r="K57" s="11"/>
    </row>
    <row r="58" spans="11:17" x14ac:dyDescent="0.25">
      <c r="K58" s="11"/>
    </row>
    <row r="59" spans="11:17" x14ac:dyDescent="0.25">
      <c r="K59" s="11"/>
    </row>
  </sheetData>
  <mergeCells count="5">
    <mergeCell ref="I16:J16"/>
    <mergeCell ref="K16:M16"/>
    <mergeCell ref="N16:O16"/>
    <mergeCell ref="E16:H16"/>
    <mergeCell ref="A16:D16"/>
  </mergeCells>
  <pageMargins left="0.7" right="0.7" top="0.75" bottom="0.75" header="0.3" footer="0.3"/>
  <pageSetup paperSize="9" scale="86" orientation="landscape" r:id="rId1"/>
  <headerFooter>
    <oddFooter>&amp;L&amp;"Arial,Regular"&amp;8ear &amp;D &amp;T
Lane Clark &amp;&amp; Peacock Page &amp;P of &amp;N&amp;R&amp;"Arial,Regular"&amp;8&amp;Z&amp;F[&amp;A]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34"/>
  <sheetViews>
    <sheetView topLeftCell="A75" zoomScale="115" zoomScaleNormal="115" workbookViewId="0">
      <selection activeCell="F101" sqref="F101"/>
    </sheetView>
  </sheetViews>
  <sheetFormatPr defaultColWidth="9.109375" defaultRowHeight="13.2" x14ac:dyDescent="0.25"/>
  <cols>
    <col min="1" max="1" width="25.6640625" style="105" bestFit="1" customWidth="1"/>
    <col min="2" max="2" width="14.5546875" style="105" bestFit="1" customWidth="1"/>
    <col min="3" max="3" width="14" style="105" customWidth="1"/>
    <col min="4" max="4" width="14.109375" style="105" customWidth="1"/>
    <col min="5" max="5" width="9.109375" style="105"/>
    <col min="6" max="6" width="9.109375" style="105" customWidth="1"/>
    <col min="7" max="11" width="9.109375" style="105"/>
    <col min="12" max="12" width="20.33203125" style="105" customWidth="1"/>
    <col min="13" max="16384" width="9.109375" style="105"/>
  </cols>
  <sheetData>
    <row r="1" spans="1:5" ht="13.8" x14ac:dyDescent="0.25">
      <c r="A1" s="107" t="s">
        <v>88</v>
      </c>
    </row>
    <row r="2" spans="1:5" x14ac:dyDescent="0.25">
      <c r="A2" s="108" t="s">
        <v>90</v>
      </c>
    </row>
    <row r="3" spans="1:5" ht="39" customHeight="1" x14ac:dyDescent="0.25">
      <c r="B3" s="108"/>
      <c r="C3" s="111" t="s">
        <v>89</v>
      </c>
      <c r="D3" s="111" t="s">
        <v>93</v>
      </c>
      <c r="E3" s="112"/>
    </row>
    <row r="4" spans="1:5" x14ac:dyDescent="0.25">
      <c r="B4" s="105" t="s">
        <v>0</v>
      </c>
      <c r="C4" s="105" t="s">
        <v>92</v>
      </c>
      <c r="D4" s="105" t="s">
        <v>91</v>
      </c>
    </row>
    <row r="5" spans="1:5" x14ac:dyDescent="0.25">
      <c r="B5" s="109">
        <v>41455</v>
      </c>
      <c r="C5" s="106">
        <v>4.1000000000000002E-2</v>
      </c>
      <c r="D5" s="110">
        <v>0.03</v>
      </c>
      <c r="E5" s="106"/>
    </row>
    <row r="6" spans="1:5" x14ac:dyDescent="0.25">
      <c r="B6" s="109">
        <f>EOMONTH(B5,1)</f>
        <v>41486</v>
      </c>
      <c r="C6" s="106">
        <v>3.7999999999999999E-2</v>
      </c>
      <c r="D6" s="110">
        <v>3.1E-2</v>
      </c>
      <c r="E6" s="106"/>
    </row>
    <row r="7" spans="1:5" x14ac:dyDescent="0.25">
      <c r="B7" s="109">
        <f t="shared" ref="B7:B70" si="0">EOMONTH(B6,1)</f>
        <v>41517</v>
      </c>
      <c r="C7" s="106">
        <v>3.9E-2</v>
      </c>
      <c r="D7" s="110">
        <v>3.2000000000000001E-2</v>
      </c>
      <c r="E7" s="106"/>
    </row>
    <row r="8" spans="1:5" x14ac:dyDescent="0.25">
      <c r="B8" s="109">
        <f t="shared" si="0"/>
        <v>41547</v>
      </c>
      <c r="C8" s="106">
        <v>0.04</v>
      </c>
      <c r="D8" s="110">
        <v>3.1E-2</v>
      </c>
      <c r="E8" s="106"/>
    </row>
    <row r="9" spans="1:5" x14ac:dyDescent="0.25">
      <c r="B9" s="109">
        <f t="shared" si="0"/>
        <v>41578</v>
      </c>
      <c r="C9" s="106">
        <v>3.7999999999999999E-2</v>
      </c>
      <c r="D9" s="110">
        <v>3.1E-2</v>
      </c>
      <c r="E9" s="106"/>
    </row>
    <row r="10" spans="1:5" x14ac:dyDescent="0.25">
      <c r="B10" s="109">
        <f t="shared" si="0"/>
        <v>41608</v>
      </c>
      <c r="C10" s="106">
        <v>0.04</v>
      </c>
      <c r="D10" s="110">
        <v>3.2000000000000001E-2</v>
      </c>
      <c r="E10" s="106"/>
    </row>
    <row r="11" spans="1:5" x14ac:dyDescent="0.25">
      <c r="B11" s="109">
        <f t="shared" si="0"/>
        <v>41639</v>
      </c>
      <c r="C11" s="106">
        <v>4.2000000000000003E-2</v>
      </c>
      <c r="D11" s="110">
        <v>3.3000000000000002E-2</v>
      </c>
      <c r="E11" s="106"/>
    </row>
    <row r="12" spans="1:5" x14ac:dyDescent="0.25">
      <c r="B12" s="109">
        <f t="shared" si="0"/>
        <v>41670</v>
      </c>
      <c r="C12" s="106">
        <v>0.04</v>
      </c>
      <c r="D12" s="110">
        <v>3.1E-2</v>
      </c>
      <c r="E12" s="106"/>
    </row>
    <row r="13" spans="1:5" x14ac:dyDescent="0.25">
      <c r="B13" s="109">
        <f t="shared" si="0"/>
        <v>41698</v>
      </c>
      <c r="C13" s="106">
        <v>0.04</v>
      </c>
      <c r="D13" s="110">
        <v>3.1E-2</v>
      </c>
      <c r="E13" s="106"/>
    </row>
    <row r="14" spans="1:5" x14ac:dyDescent="0.25">
      <c r="B14" s="109">
        <f t="shared" si="0"/>
        <v>41729</v>
      </c>
      <c r="C14" s="106">
        <v>0.04</v>
      </c>
      <c r="D14" s="110">
        <v>3.2000000000000001E-2</v>
      </c>
      <c r="E14" s="106"/>
    </row>
    <row r="15" spans="1:5" x14ac:dyDescent="0.25">
      <c r="B15" s="109">
        <f t="shared" si="0"/>
        <v>41759</v>
      </c>
      <c r="C15" s="106">
        <v>0.04</v>
      </c>
      <c r="D15" s="110">
        <v>3.2000000000000001E-2</v>
      </c>
      <c r="E15" s="106"/>
    </row>
    <row r="16" spans="1:5" x14ac:dyDescent="0.25">
      <c r="B16" s="109">
        <f t="shared" si="0"/>
        <v>41790</v>
      </c>
      <c r="C16" s="106">
        <v>3.7999999999999999E-2</v>
      </c>
      <c r="D16" s="110">
        <v>3.1E-2</v>
      </c>
      <c r="E16" s="106"/>
    </row>
    <row r="17" spans="2:5" x14ac:dyDescent="0.25">
      <c r="B17" s="109">
        <f t="shared" si="0"/>
        <v>41820</v>
      </c>
      <c r="C17" s="106">
        <v>0.04</v>
      </c>
      <c r="D17" s="110">
        <v>3.1E-2</v>
      </c>
      <c r="E17" s="106"/>
    </row>
    <row r="18" spans="2:5" x14ac:dyDescent="0.25">
      <c r="B18" s="109">
        <f t="shared" si="0"/>
        <v>41851</v>
      </c>
      <c r="C18" s="106">
        <v>3.9E-2</v>
      </c>
      <c r="D18" s="110">
        <v>3.1E-2</v>
      </c>
      <c r="E18" s="106"/>
    </row>
    <row r="19" spans="2:5" x14ac:dyDescent="0.25">
      <c r="B19" s="109">
        <f t="shared" si="0"/>
        <v>41882</v>
      </c>
      <c r="C19" s="106">
        <v>3.5999999999999997E-2</v>
      </c>
      <c r="D19" s="110">
        <v>0.03</v>
      </c>
      <c r="E19" s="106"/>
    </row>
    <row r="20" spans="2:5" x14ac:dyDescent="0.25">
      <c r="B20" s="109">
        <f t="shared" si="0"/>
        <v>41912</v>
      </c>
      <c r="C20" s="106">
        <v>3.6999999999999998E-2</v>
      </c>
      <c r="D20" s="110">
        <v>0.03</v>
      </c>
      <c r="E20" s="106"/>
    </row>
    <row r="21" spans="2:5" x14ac:dyDescent="0.25">
      <c r="B21" s="109">
        <f t="shared" si="0"/>
        <v>41943</v>
      </c>
      <c r="C21" s="106">
        <v>3.5999999999999997E-2</v>
      </c>
      <c r="D21" s="110">
        <v>2.9000000000000001E-2</v>
      </c>
      <c r="E21" s="106"/>
    </row>
    <row r="22" spans="2:5" x14ac:dyDescent="0.25">
      <c r="B22" s="109">
        <f t="shared" si="0"/>
        <v>41973</v>
      </c>
      <c r="C22" s="106">
        <v>3.3000000000000002E-2</v>
      </c>
      <c r="D22" s="110">
        <v>2.9000000000000001E-2</v>
      </c>
      <c r="E22" s="106"/>
    </row>
    <row r="23" spans="2:5" x14ac:dyDescent="0.25">
      <c r="B23" s="109">
        <f t="shared" si="0"/>
        <v>42004</v>
      </c>
      <c r="C23" s="106">
        <v>3.2000000000000001E-2</v>
      </c>
      <c r="D23" s="110">
        <v>2.8000000000000001E-2</v>
      </c>
      <c r="E23" s="106"/>
    </row>
    <row r="24" spans="2:5" x14ac:dyDescent="0.25">
      <c r="B24" s="109">
        <f t="shared" si="0"/>
        <v>42035</v>
      </c>
      <c r="C24" s="106">
        <v>2.7E-2</v>
      </c>
      <c r="D24" s="110">
        <v>2.4E-2</v>
      </c>
      <c r="E24" s="106"/>
    </row>
    <row r="25" spans="2:5" x14ac:dyDescent="0.25">
      <c r="B25" s="109">
        <f t="shared" si="0"/>
        <v>42063</v>
      </c>
      <c r="C25" s="106">
        <v>0.03</v>
      </c>
      <c r="D25" s="110">
        <v>2.8000000000000001E-2</v>
      </c>
      <c r="E25" s="106"/>
    </row>
    <row r="26" spans="2:5" x14ac:dyDescent="0.25">
      <c r="B26" s="109">
        <f t="shared" si="0"/>
        <v>42094</v>
      </c>
      <c r="C26" s="106">
        <v>2.9000000000000001E-2</v>
      </c>
      <c r="D26" s="110">
        <v>2.7E-2</v>
      </c>
      <c r="E26" s="106"/>
    </row>
    <row r="27" spans="2:5" x14ac:dyDescent="0.25">
      <c r="B27" s="109">
        <f t="shared" si="0"/>
        <v>42124</v>
      </c>
      <c r="C27" s="106">
        <v>3.1E-2</v>
      </c>
      <c r="D27" s="110">
        <v>2.9000000000000001E-2</v>
      </c>
      <c r="E27" s="106"/>
    </row>
    <row r="28" spans="2:5" x14ac:dyDescent="0.25">
      <c r="B28" s="109">
        <f t="shared" si="0"/>
        <v>42155</v>
      </c>
      <c r="C28" s="106">
        <v>3.1E-2</v>
      </c>
      <c r="D28" s="110">
        <v>2.8000000000000001E-2</v>
      </c>
      <c r="E28" s="106"/>
    </row>
    <row r="29" spans="2:5" x14ac:dyDescent="0.25">
      <c r="B29" s="109">
        <f t="shared" si="0"/>
        <v>42185</v>
      </c>
      <c r="C29" s="106">
        <v>3.4000000000000002E-2</v>
      </c>
      <c r="D29" s="110">
        <v>2.9000000000000001E-2</v>
      </c>
      <c r="E29" s="106"/>
    </row>
    <row r="30" spans="2:5" x14ac:dyDescent="0.25">
      <c r="B30" s="109">
        <f t="shared" si="0"/>
        <v>42216</v>
      </c>
      <c r="C30" s="106">
        <v>3.3000000000000002E-2</v>
      </c>
      <c r="D30" s="110">
        <v>2.9000000000000001E-2</v>
      </c>
      <c r="E30" s="106"/>
    </row>
    <row r="31" spans="2:5" x14ac:dyDescent="0.25">
      <c r="B31" s="109">
        <f t="shared" si="0"/>
        <v>42247</v>
      </c>
      <c r="C31" s="106">
        <v>3.4000000000000002E-2</v>
      </c>
      <c r="D31" s="110">
        <v>2.8000000000000001E-2</v>
      </c>
      <c r="E31" s="106"/>
    </row>
    <row r="32" spans="2:5" x14ac:dyDescent="0.25">
      <c r="B32" s="109">
        <f t="shared" si="0"/>
        <v>42277</v>
      </c>
      <c r="C32" s="106">
        <v>3.3000000000000002E-2</v>
      </c>
      <c r="D32" s="110">
        <v>2.5999999999999999E-2</v>
      </c>
      <c r="E32" s="106"/>
    </row>
    <row r="33" spans="1:13" x14ac:dyDescent="0.25">
      <c r="B33" s="109">
        <f t="shared" si="0"/>
        <v>42308</v>
      </c>
      <c r="C33" s="106">
        <v>3.4000000000000002E-2</v>
      </c>
      <c r="D33" s="110">
        <v>2.7E-2</v>
      </c>
      <c r="E33" s="106"/>
    </row>
    <row r="34" spans="1:13" x14ac:dyDescent="0.25">
      <c r="B34" s="109">
        <f t="shared" si="0"/>
        <v>42338</v>
      </c>
      <c r="C34" s="106">
        <v>3.3000000000000002E-2</v>
      </c>
      <c r="D34" s="110">
        <v>2.8000000000000001E-2</v>
      </c>
      <c r="E34" s="106"/>
    </row>
    <row r="35" spans="1:13" x14ac:dyDescent="0.25">
      <c r="B35" s="109">
        <f t="shared" si="0"/>
        <v>42369</v>
      </c>
      <c r="C35" s="106">
        <v>3.3000000000000002E-2</v>
      </c>
      <c r="D35" s="110">
        <v>2.5999999999999999E-2</v>
      </c>
      <c r="E35" s="106"/>
    </row>
    <row r="36" spans="1:13" x14ac:dyDescent="0.25">
      <c r="B36" s="109">
        <f t="shared" si="0"/>
        <v>42400</v>
      </c>
      <c r="C36" s="106">
        <v>3.2000000000000001E-2</v>
      </c>
      <c r="D36" s="110">
        <v>2.5999999999999999E-2</v>
      </c>
      <c r="E36" s="106"/>
    </row>
    <row r="37" spans="1:13" x14ac:dyDescent="0.25">
      <c r="B37" s="109">
        <f t="shared" si="0"/>
        <v>42429</v>
      </c>
      <c r="C37" s="106">
        <v>3.2000000000000001E-2</v>
      </c>
      <c r="D37" s="110">
        <v>2.5000000000000001E-2</v>
      </c>
      <c r="E37" s="106"/>
      <c r="L37" s="219" t="s">
        <v>145</v>
      </c>
      <c r="M37" s="219" t="s">
        <v>147</v>
      </c>
    </row>
    <row r="38" spans="1:13" x14ac:dyDescent="0.25">
      <c r="B38" s="109">
        <f t="shared" si="0"/>
        <v>42460</v>
      </c>
      <c r="C38" s="106">
        <v>0.03</v>
      </c>
      <c r="D38" s="110">
        <v>2.5999999999999999E-2</v>
      </c>
      <c r="E38" s="106"/>
    </row>
    <row r="39" spans="1:13" x14ac:dyDescent="0.25">
      <c r="B39" s="109">
        <f t="shared" si="0"/>
        <v>42490</v>
      </c>
      <c r="C39" s="106">
        <v>0.03</v>
      </c>
      <c r="D39" s="110">
        <v>2.5999999999999999E-2</v>
      </c>
      <c r="E39" s="106"/>
      <c r="L39" s="105" t="s">
        <v>146</v>
      </c>
    </row>
    <row r="40" spans="1:13" x14ac:dyDescent="0.25">
      <c r="A40" s="109"/>
      <c r="B40" s="109">
        <f t="shared" si="0"/>
        <v>42521</v>
      </c>
      <c r="C40" s="220">
        <f>ROUND(L40, 1)/100</f>
        <v>2.8999999999999998E-2</v>
      </c>
      <c r="D40" s="222">
        <v>2.5000000000000001E-2</v>
      </c>
      <c r="F40" s="223" t="s">
        <v>148</v>
      </c>
      <c r="L40" s="105">
        <v>2.8782938210470799</v>
      </c>
      <c r="M40" s="220">
        <v>2.6000000000000002E-2</v>
      </c>
    </row>
    <row r="41" spans="1:13" x14ac:dyDescent="0.25">
      <c r="A41" s="109"/>
      <c r="B41" s="109">
        <f t="shared" si="0"/>
        <v>42551</v>
      </c>
      <c r="C41" s="220">
        <f t="shared" ref="C41:C88" si="1">ROUND(L41, 1)/100</f>
        <v>2.5000000000000001E-2</v>
      </c>
      <c r="D41" s="222">
        <v>2.5000000000000001E-2</v>
      </c>
      <c r="F41" s="345" t="s">
        <v>149</v>
      </c>
      <c r="G41" s="345"/>
      <c r="H41" s="345"/>
      <c r="I41" s="345"/>
      <c r="J41" s="345"/>
      <c r="L41" s="105">
        <v>2.4939604450733301</v>
      </c>
      <c r="M41" s="220">
        <v>2.6000000000000002E-2</v>
      </c>
    </row>
    <row r="42" spans="1:13" x14ac:dyDescent="0.25">
      <c r="A42" s="109"/>
      <c r="B42" s="109">
        <f t="shared" si="0"/>
        <v>42582</v>
      </c>
      <c r="C42" s="220">
        <f t="shared" si="1"/>
        <v>0.02</v>
      </c>
      <c r="D42" s="221">
        <f t="shared" ref="D42:D47" si="2">M42</f>
        <v>2.5000000000000001E-2</v>
      </c>
      <c r="F42" s="345"/>
      <c r="G42" s="345"/>
      <c r="H42" s="345"/>
      <c r="I42" s="345"/>
      <c r="J42" s="345"/>
      <c r="L42" s="105">
        <v>2.0314925365130301</v>
      </c>
      <c r="M42" s="220">
        <v>2.5000000000000001E-2</v>
      </c>
    </row>
    <row r="43" spans="1:13" x14ac:dyDescent="0.25">
      <c r="A43" s="109"/>
      <c r="B43" s="109">
        <f t="shared" si="0"/>
        <v>42613</v>
      </c>
      <c r="C43" s="220">
        <f t="shared" si="1"/>
        <v>1.8000000000000002E-2</v>
      </c>
      <c r="D43" s="221">
        <f t="shared" si="2"/>
        <v>2.7999999999999997E-2</v>
      </c>
      <c r="L43" s="105">
        <v>1.7914302310730399</v>
      </c>
      <c r="M43" s="220">
        <v>2.7999999999999997E-2</v>
      </c>
    </row>
    <row r="44" spans="1:13" x14ac:dyDescent="0.25">
      <c r="A44" s="109"/>
      <c r="B44" s="109">
        <f t="shared" si="0"/>
        <v>42643</v>
      </c>
      <c r="C44" s="220">
        <f t="shared" si="1"/>
        <v>1.9E-2</v>
      </c>
      <c r="D44" s="221">
        <f t="shared" si="2"/>
        <v>2.8999999999999998E-2</v>
      </c>
      <c r="L44" s="105">
        <v>1.9214449042103601</v>
      </c>
      <c r="M44" s="220">
        <v>2.8999999999999998E-2</v>
      </c>
    </row>
    <row r="45" spans="1:13" x14ac:dyDescent="0.25">
      <c r="B45" s="109">
        <f t="shared" si="0"/>
        <v>42674</v>
      </c>
      <c r="C45" s="220">
        <f t="shared" si="1"/>
        <v>2.4E-2</v>
      </c>
      <c r="D45" s="221">
        <f t="shared" si="2"/>
        <v>3.3000000000000002E-2</v>
      </c>
      <c r="L45" s="105">
        <v>2.4183341228139401</v>
      </c>
      <c r="M45" s="220">
        <v>3.3000000000000002E-2</v>
      </c>
    </row>
    <row r="46" spans="1:13" x14ac:dyDescent="0.25">
      <c r="B46" s="109">
        <f t="shared" si="0"/>
        <v>42704</v>
      </c>
      <c r="C46" s="220">
        <f t="shared" si="1"/>
        <v>2.6000000000000002E-2</v>
      </c>
      <c r="D46" s="221">
        <f t="shared" si="2"/>
        <v>3.2000000000000001E-2</v>
      </c>
      <c r="L46" s="105">
        <v>2.6197459183499299</v>
      </c>
      <c r="M46" s="220">
        <v>3.2000000000000001E-2</v>
      </c>
    </row>
    <row r="47" spans="1:13" x14ac:dyDescent="0.25">
      <c r="B47" s="109">
        <f t="shared" si="0"/>
        <v>42735</v>
      </c>
      <c r="C47" s="220">
        <f t="shared" si="1"/>
        <v>2.4E-2</v>
      </c>
      <c r="D47" s="221">
        <f t="shared" si="2"/>
        <v>3.3000000000000002E-2</v>
      </c>
      <c r="L47" s="105">
        <v>2.4079257775201199</v>
      </c>
      <c r="M47" s="220">
        <v>3.3000000000000002E-2</v>
      </c>
    </row>
    <row r="48" spans="1:13" x14ac:dyDescent="0.25">
      <c r="B48" s="109">
        <f t="shared" si="0"/>
        <v>42766</v>
      </c>
      <c r="C48" s="220">
        <f t="shared" si="1"/>
        <v>2.6000000000000002E-2</v>
      </c>
      <c r="D48" s="222">
        <v>3.4000000000000002E-2</v>
      </c>
      <c r="L48" s="105">
        <v>2.5619496567926001</v>
      </c>
      <c r="M48" s="220">
        <v>3.5000000000000003E-2</v>
      </c>
    </row>
    <row r="49" spans="2:13" x14ac:dyDescent="0.25">
      <c r="B49" s="109">
        <f t="shared" si="0"/>
        <v>42794</v>
      </c>
      <c r="C49" s="220">
        <f t="shared" si="1"/>
        <v>2.2000000000000002E-2</v>
      </c>
      <c r="D49" s="222">
        <v>3.2000000000000001E-2</v>
      </c>
      <c r="L49" s="105">
        <v>2.2035313956965998</v>
      </c>
      <c r="M49" s="220">
        <v>3.1E-2</v>
      </c>
    </row>
    <row r="50" spans="2:13" x14ac:dyDescent="0.25">
      <c r="B50" s="109">
        <f t="shared" si="0"/>
        <v>42825</v>
      </c>
      <c r="C50" s="220">
        <f t="shared" si="1"/>
        <v>2.2000000000000002E-2</v>
      </c>
      <c r="D50" s="221">
        <f>M50</f>
        <v>3.2000000000000001E-2</v>
      </c>
      <c r="L50" s="105">
        <v>2.20307833814958</v>
      </c>
      <c r="M50" s="220">
        <v>3.2000000000000001E-2</v>
      </c>
    </row>
    <row r="51" spans="2:13" x14ac:dyDescent="0.25">
      <c r="B51" s="109">
        <f t="shared" si="0"/>
        <v>42855</v>
      </c>
      <c r="C51" s="220">
        <f t="shared" si="1"/>
        <v>2.2000000000000002E-2</v>
      </c>
      <c r="D51" s="221">
        <f>M51</f>
        <v>3.2000000000000001E-2</v>
      </c>
      <c r="L51" s="105">
        <v>2.1531118709396799</v>
      </c>
      <c r="M51" s="220">
        <v>3.2000000000000001E-2</v>
      </c>
    </row>
    <row r="52" spans="2:13" x14ac:dyDescent="0.25">
      <c r="B52" s="109">
        <f t="shared" si="0"/>
        <v>42886</v>
      </c>
      <c r="C52" s="220">
        <f t="shared" si="1"/>
        <v>2.1000000000000001E-2</v>
      </c>
      <c r="D52" s="221">
        <f>M52</f>
        <v>3.1E-2</v>
      </c>
      <c r="L52" s="105">
        <v>2.0793403216155499</v>
      </c>
      <c r="M52" s="220">
        <v>3.1E-2</v>
      </c>
    </row>
    <row r="53" spans="2:13" x14ac:dyDescent="0.25">
      <c r="B53" s="109">
        <f t="shared" si="0"/>
        <v>42916</v>
      </c>
      <c r="C53" s="220">
        <f t="shared" si="1"/>
        <v>2.2000000000000002E-2</v>
      </c>
      <c r="D53" s="221">
        <f>M53</f>
        <v>3.1E-2</v>
      </c>
      <c r="L53" s="105">
        <v>2.2468292728187902</v>
      </c>
      <c r="M53" s="220">
        <v>3.1E-2</v>
      </c>
    </row>
    <row r="54" spans="2:13" x14ac:dyDescent="0.25">
      <c r="B54" s="109">
        <f t="shared" si="0"/>
        <v>42947</v>
      </c>
      <c r="C54" s="220">
        <f t="shared" si="1"/>
        <v>2.2000000000000002E-2</v>
      </c>
      <c r="D54" s="222">
        <v>3.1E-2</v>
      </c>
      <c r="L54" s="105">
        <v>2.2047948670189701</v>
      </c>
      <c r="M54" s="220">
        <v>0.03</v>
      </c>
    </row>
    <row r="55" spans="2:13" x14ac:dyDescent="0.25">
      <c r="B55" s="109">
        <f t="shared" si="0"/>
        <v>42978</v>
      </c>
      <c r="C55" s="220">
        <f t="shared" si="1"/>
        <v>0.02</v>
      </c>
      <c r="D55" s="221">
        <f>M55</f>
        <v>3.1E-2</v>
      </c>
      <c r="L55" s="105">
        <v>2.0182393931927001</v>
      </c>
      <c r="M55" s="220">
        <v>3.1E-2</v>
      </c>
    </row>
    <row r="56" spans="2:13" x14ac:dyDescent="0.25">
      <c r="B56" s="109">
        <f t="shared" si="0"/>
        <v>43008</v>
      </c>
      <c r="C56" s="220">
        <f t="shared" si="1"/>
        <v>2.3E-2</v>
      </c>
      <c r="D56" s="221">
        <f>M56</f>
        <v>3.2000000000000001E-2</v>
      </c>
      <c r="L56" s="105">
        <v>2.3258931164927099</v>
      </c>
      <c r="M56" s="220">
        <v>3.2000000000000001E-2</v>
      </c>
    </row>
    <row r="57" spans="2:13" x14ac:dyDescent="0.25">
      <c r="B57" s="109">
        <f t="shared" si="0"/>
        <v>43039</v>
      </c>
      <c r="C57" s="220">
        <f t="shared" si="1"/>
        <v>2.3E-2</v>
      </c>
      <c r="D57" s="222">
        <v>3.2000000000000001E-2</v>
      </c>
      <c r="L57" s="105">
        <v>2.3055591819072001</v>
      </c>
      <c r="M57" s="220">
        <v>3.1E-2</v>
      </c>
    </row>
    <row r="58" spans="2:13" x14ac:dyDescent="0.25">
      <c r="B58" s="109">
        <f t="shared" si="0"/>
        <v>43069</v>
      </c>
      <c r="C58" s="220">
        <f t="shared" si="1"/>
        <v>2.3E-2</v>
      </c>
      <c r="D58" s="221">
        <f t="shared" ref="D58:D73" si="3">M58</f>
        <v>3.1E-2</v>
      </c>
      <c r="L58" s="105">
        <v>2.3303920553483302</v>
      </c>
      <c r="M58" s="220">
        <v>3.1E-2</v>
      </c>
    </row>
    <row r="59" spans="2:13" x14ac:dyDescent="0.25">
      <c r="B59" s="109">
        <f t="shared" si="0"/>
        <v>43100</v>
      </c>
      <c r="C59" s="220">
        <f t="shared" si="1"/>
        <v>2.2000000000000002E-2</v>
      </c>
      <c r="D59" s="221">
        <f t="shared" si="3"/>
        <v>3.1E-2</v>
      </c>
      <c r="L59" s="105">
        <v>2.1559017614461502</v>
      </c>
      <c r="M59" s="220">
        <v>3.1E-2</v>
      </c>
    </row>
    <row r="60" spans="2:13" x14ac:dyDescent="0.25">
      <c r="B60" s="109">
        <f t="shared" si="0"/>
        <v>43131</v>
      </c>
      <c r="C60" s="220">
        <f t="shared" si="1"/>
        <v>2.3E-2</v>
      </c>
      <c r="D60" s="221">
        <f t="shared" si="3"/>
        <v>3.2000000000000001E-2</v>
      </c>
      <c r="L60" s="105">
        <v>2.3455110437195099</v>
      </c>
      <c r="M60" s="220">
        <v>3.2000000000000001E-2</v>
      </c>
    </row>
    <row r="61" spans="2:13" x14ac:dyDescent="0.25">
      <c r="B61" s="109">
        <f t="shared" si="0"/>
        <v>43159</v>
      </c>
      <c r="C61" s="220">
        <f t="shared" si="1"/>
        <v>2.4E-2</v>
      </c>
      <c r="D61" s="221">
        <f t="shared" si="3"/>
        <v>3.2000000000000001E-2</v>
      </c>
      <c r="L61" s="105">
        <v>2.44391419136356</v>
      </c>
      <c r="M61" s="220">
        <v>3.2000000000000001E-2</v>
      </c>
    </row>
    <row r="62" spans="2:13" x14ac:dyDescent="0.25">
      <c r="B62" s="109">
        <f t="shared" si="0"/>
        <v>43190</v>
      </c>
      <c r="C62" s="220">
        <f t="shared" si="1"/>
        <v>2.3E-2</v>
      </c>
      <c r="D62" s="221">
        <f t="shared" si="3"/>
        <v>3.2000000000000001E-2</v>
      </c>
      <c r="L62" s="105">
        <v>2.3470322526862799</v>
      </c>
      <c r="M62" s="220">
        <v>3.2000000000000001E-2</v>
      </c>
    </row>
    <row r="63" spans="2:13" x14ac:dyDescent="0.25">
      <c r="B63" s="109">
        <f t="shared" si="0"/>
        <v>43220</v>
      </c>
      <c r="C63" s="220">
        <f t="shared" si="1"/>
        <v>2.4E-2</v>
      </c>
      <c r="D63" s="221">
        <f t="shared" si="3"/>
        <v>3.2000000000000001E-2</v>
      </c>
      <c r="L63" s="105">
        <v>2.4047913672337899</v>
      </c>
      <c r="M63" s="220">
        <v>3.2000000000000001E-2</v>
      </c>
    </row>
    <row r="64" spans="2:13" x14ac:dyDescent="0.25">
      <c r="B64" s="109">
        <f t="shared" si="0"/>
        <v>43251</v>
      </c>
      <c r="C64" s="220">
        <f t="shared" si="1"/>
        <v>2.3E-2</v>
      </c>
      <c r="D64" s="221">
        <f t="shared" si="3"/>
        <v>3.1E-2</v>
      </c>
      <c r="L64" s="105">
        <v>2.2867017456961598</v>
      </c>
      <c r="M64" s="220">
        <v>3.1E-2</v>
      </c>
    </row>
    <row r="65" spans="2:13" x14ac:dyDescent="0.25">
      <c r="B65" s="109">
        <f t="shared" si="0"/>
        <v>43281</v>
      </c>
      <c r="C65" s="220">
        <f t="shared" si="1"/>
        <v>2.4E-2</v>
      </c>
      <c r="D65" s="221">
        <f t="shared" si="3"/>
        <v>3.1E-2</v>
      </c>
      <c r="L65" s="105">
        <v>2.4099549776831801</v>
      </c>
      <c r="M65" s="220">
        <v>3.1E-2</v>
      </c>
    </row>
    <row r="66" spans="2:13" x14ac:dyDescent="0.25">
      <c r="B66" s="109">
        <f t="shared" si="0"/>
        <v>43312</v>
      </c>
      <c r="C66" s="220">
        <f t="shared" si="1"/>
        <v>2.4E-2</v>
      </c>
      <c r="D66" s="221">
        <f t="shared" si="3"/>
        <v>3.2000000000000001E-2</v>
      </c>
      <c r="L66" s="105">
        <v>2.4323515843152301</v>
      </c>
      <c r="M66" s="220">
        <v>3.2000000000000001E-2</v>
      </c>
    </row>
    <row r="67" spans="2:13" x14ac:dyDescent="0.25">
      <c r="B67" s="109">
        <f t="shared" si="0"/>
        <v>43343</v>
      </c>
      <c r="C67" s="220">
        <f t="shared" si="1"/>
        <v>2.3E-2</v>
      </c>
      <c r="D67" s="221">
        <f t="shared" si="3"/>
        <v>3.1E-2</v>
      </c>
      <c r="L67" s="105">
        <v>2.3487761872602202</v>
      </c>
      <c r="M67" s="220">
        <v>3.1E-2</v>
      </c>
    </row>
    <row r="68" spans="2:13" x14ac:dyDescent="0.25">
      <c r="B68" s="109">
        <f t="shared" si="0"/>
        <v>43373</v>
      </c>
      <c r="C68" s="220">
        <f t="shared" si="1"/>
        <v>2.5000000000000001E-2</v>
      </c>
      <c r="D68" s="221">
        <f t="shared" si="3"/>
        <v>3.3000000000000002E-2</v>
      </c>
      <c r="L68" s="105">
        <v>2.4870968393848001</v>
      </c>
      <c r="M68" s="220">
        <v>3.3000000000000002E-2</v>
      </c>
    </row>
    <row r="69" spans="2:13" x14ac:dyDescent="0.25">
      <c r="B69" s="109">
        <f t="shared" si="0"/>
        <v>43404</v>
      </c>
      <c r="C69" s="220">
        <f t="shared" si="1"/>
        <v>2.4E-2</v>
      </c>
      <c r="D69" s="221">
        <f t="shared" si="3"/>
        <v>3.3000000000000002E-2</v>
      </c>
      <c r="L69" s="105">
        <v>2.4095621038866</v>
      </c>
      <c r="M69" s="220">
        <v>3.3000000000000002E-2</v>
      </c>
    </row>
    <row r="70" spans="2:13" x14ac:dyDescent="0.25">
      <c r="B70" s="109">
        <f t="shared" si="0"/>
        <v>43434</v>
      </c>
      <c r="C70" s="220">
        <f t="shared" si="1"/>
        <v>2.5000000000000001E-2</v>
      </c>
      <c r="D70" s="221">
        <f t="shared" si="3"/>
        <v>3.3000000000000002E-2</v>
      </c>
      <c r="L70" s="105">
        <v>2.4728806306764999</v>
      </c>
      <c r="M70" s="220">
        <v>3.3000000000000002E-2</v>
      </c>
    </row>
    <row r="71" spans="2:13" x14ac:dyDescent="0.25">
      <c r="B71" s="109">
        <f t="shared" ref="B71:B96" si="4">EOMONTH(B70,1)</f>
        <v>43465</v>
      </c>
      <c r="C71" s="220">
        <f t="shared" si="1"/>
        <v>2.4E-2</v>
      </c>
      <c r="D71" s="221">
        <f t="shared" si="3"/>
        <v>3.3000000000000002E-2</v>
      </c>
      <c r="L71" s="105">
        <v>2.41360171858918</v>
      </c>
      <c r="M71" s="220">
        <v>3.3000000000000002E-2</v>
      </c>
    </row>
    <row r="72" spans="2:13" x14ac:dyDescent="0.25">
      <c r="B72" s="109">
        <f t="shared" si="4"/>
        <v>43496</v>
      </c>
      <c r="C72" s="220">
        <f t="shared" si="1"/>
        <v>2.3E-2</v>
      </c>
      <c r="D72" s="221">
        <f t="shared" si="3"/>
        <v>3.2000000000000001E-2</v>
      </c>
      <c r="L72" s="105">
        <v>2.2884629544188502</v>
      </c>
      <c r="M72" s="220">
        <v>3.2000000000000001E-2</v>
      </c>
    </row>
    <row r="73" spans="2:13" x14ac:dyDescent="0.25">
      <c r="B73" s="109">
        <f t="shared" si="4"/>
        <v>43524</v>
      </c>
      <c r="C73" s="220">
        <f t="shared" si="1"/>
        <v>2.3E-2</v>
      </c>
      <c r="D73" s="221">
        <f t="shared" si="3"/>
        <v>3.2000000000000001E-2</v>
      </c>
      <c r="L73" s="105">
        <v>2.3180728132808599</v>
      </c>
      <c r="M73" s="220">
        <v>3.2000000000000001E-2</v>
      </c>
    </row>
    <row r="74" spans="2:13" x14ac:dyDescent="0.25">
      <c r="B74" s="109">
        <f t="shared" si="4"/>
        <v>43555</v>
      </c>
      <c r="C74" s="220">
        <f t="shared" si="1"/>
        <v>0.02</v>
      </c>
      <c r="D74" s="222">
        <v>3.3000000000000002E-2</v>
      </c>
      <c r="L74" s="105">
        <v>1.9874970747457601</v>
      </c>
      <c r="M74" s="220">
        <v>3.4000000000000002E-2</v>
      </c>
    </row>
    <row r="75" spans="2:13" x14ac:dyDescent="0.25">
      <c r="B75" s="109">
        <f t="shared" si="4"/>
        <v>43585</v>
      </c>
      <c r="C75" s="220">
        <f t="shared" si="1"/>
        <v>2.1000000000000001E-2</v>
      </c>
      <c r="D75" s="222">
        <v>3.3000000000000002E-2</v>
      </c>
      <c r="L75" s="105">
        <v>2.1391746036009498</v>
      </c>
      <c r="M75" s="220">
        <v>3.4000000000000002E-2</v>
      </c>
    </row>
    <row r="76" spans="2:13" x14ac:dyDescent="0.25">
      <c r="B76" s="109">
        <f t="shared" si="4"/>
        <v>43616</v>
      </c>
      <c r="C76" s="220">
        <f t="shared" si="1"/>
        <v>1.9E-2</v>
      </c>
      <c r="D76" s="221">
        <f t="shared" ref="D76:D88" si="5">M76</f>
        <v>3.4000000000000002E-2</v>
      </c>
      <c r="L76" s="105">
        <v>1.9461303322368699</v>
      </c>
      <c r="M76" s="220">
        <v>3.4000000000000002E-2</v>
      </c>
    </row>
    <row r="77" spans="2:13" x14ac:dyDescent="0.25">
      <c r="B77" s="109">
        <f t="shared" si="4"/>
        <v>43646</v>
      </c>
      <c r="C77" s="220">
        <f t="shared" si="1"/>
        <v>1.9E-2</v>
      </c>
      <c r="D77" s="221">
        <f t="shared" si="5"/>
        <v>3.3000000000000002E-2</v>
      </c>
      <c r="L77" s="105">
        <v>1.8730469754980801</v>
      </c>
      <c r="M77" s="220">
        <v>3.3000000000000002E-2</v>
      </c>
    </row>
    <row r="78" spans="2:13" x14ac:dyDescent="0.25">
      <c r="B78" s="109">
        <f t="shared" si="4"/>
        <v>43677</v>
      </c>
      <c r="C78" s="220">
        <f t="shared" si="1"/>
        <v>1.6E-2</v>
      </c>
      <c r="D78" s="221">
        <f t="shared" si="5"/>
        <v>3.4000000000000002E-2</v>
      </c>
      <c r="L78" s="105">
        <v>1.5798902757506399</v>
      </c>
      <c r="M78" s="220">
        <v>3.4000000000000002E-2</v>
      </c>
    </row>
    <row r="79" spans="2:13" x14ac:dyDescent="0.25">
      <c r="B79" s="109">
        <f t="shared" si="4"/>
        <v>43708</v>
      </c>
      <c r="C79" s="220">
        <f t="shared" si="1"/>
        <v>1.3999999999999999E-2</v>
      </c>
      <c r="D79" s="221">
        <f t="shared" si="5"/>
        <v>3.4000000000000002E-2</v>
      </c>
      <c r="L79" s="105">
        <v>1.36987046798194</v>
      </c>
      <c r="M79" s="220">
        <v>3.4000000000000002E-2</v>
      </c>
    </row>
    <row r="80" spans="2:13" x14ac:dyDescent="0.25">
      <c r="B80" s="109">
        <f t="shared" si="4"/>
        <v>43738</v>
      </c>
      <c r="C80" s="220">
        <f t="shared" si="1"/>
        <v>1.4999999999999999E-2</v>
      </c>
      <c r="D80" s="221">
        <f t="shared" si="5"/>
        <v>3.4000000000000002E-2</v>
      </c>
      <c r="L80" s="105">
        <v>1.45787339079626</v>
      </c>
      <c r="M80" s="220">
        <v>3.4000000000000002E-2</v>
      </c>
    </row>
    <row r="81" spans="2:13" x14ac:dyDescent="0.25">
      <c r="B81" s="109">
        <f t="shared" si="4"/>
        <v>43769</v>
      </c>
      <c r="C81" s="220">
        <f t="shared" si="1"/>
        <v>1.4999999999999999E-2</v>
      </c>
      <c r="D81" s="221">
        <f t="shared" si="5"/>
        <v>3.1E-2</v>
      </c>
      <c r="L81" s="105">
        <v>1.5398305600617701</v>
      </c>
      <c r="M81" s="220">
        <v>3.1E-2</v>
      </c>
    </row>
    <row r="82" spans="2:13" x14ac:dyDescent="0.25">
      <c r="B82" s="109">
        <f t="shared" si="4"/>
        <v>43799</v>
      </c>
      <c r="C82" s="220">
        <f t="shared" si="1"/>
        <v>1.6E-2</v>
      </c>
      <c r="D82" s="221">
        <f t="shared" si="5"/>
        <v>3.2000000000000001E-2</v>
      </c>
      <c r="L82" s="105">
        <v>1.5964254078154201</v>
      </c>
      <c r="M82" s="220">
        <v>3.2000000000000001E-2</v>
      </c>
    </row>
    <row r="83" spans="2:13" x14ac:dyDescent="0.25">
      <c r="B83" s="109">
        <f t="shared" si="4"/>
        <v>43830</v>
      </c>
      <c r="C83" s="220">
        <f t="shared" si="1"/>
        <v>1.7000000000000001E-2</v>
      </c>
      <c r="D83" s="221">
        <f t="shared" si="5"/>
        <v>3.2000000000000001E-2</v>
      </c>
      <c r="L83" s="105">
        <v>1.69579448802835</v>
      </c>
      <c r="M83" s="220">
        <v>3.2000000000000001E-2</v>
      </c>
    </row>
    <row r="84" spans="2:13" x14ac:dyDescent="0.25">
      <c r="B84" s="109">
        <f t="shared" si="4"/>
        <v>43861</v>
      </c>
      <c r="C84" s="220">
        <f t="shared" si="1"/>
        <v>1.1000000000000001E-2</v>
      </c>
      <c r="D84" s="221">
        <f t="shared" si="5"/>
        <v>0.03</v>
      </c>
      <c r="L84" s="105">
        <v>1.1430888868856599</v>
      </c>
      <c r="M84" s="220">
        <v>0.03</v>
      </c>
    </row>
    <row r="85" spans="2:13" x14ac:dyDescent="0.25">
      <c r="B85" s="109">
        <f t="shared" si="4"/>
        <v>43890</v>
      </c>
      <c r="C85" s="220">
        <f t="shared" si="1"/>
        <v>1.2E-2</v>
      </c>
      <c r="D85" s="221">
        <f t="shared" si="5"/>
        <v>2.8999999999999998E-2</v>
      </c>
      <c r="L85" s="105">
        <v>1.1763716670967801</v>
      </c>
      <c r="M85" s="220">
        <v>2.8999999999999998E-2</v>
      </c>
    </row>
    <row r="86" spans="2:13" x14ac:dyDescent="0.25">
      <c r="B86" s="109">
        <f t="shared" si="4"/>
        <v>43921</v>
      </c>
      <c r="C86" s="220">
        <f t="shared" si="1"/>
        <v>2.2000000000000002E-2</v>
      </c>
      <c r="D86" s="221">
        <f t="shared" si="5"/>
        <v>2.7999999999999997E-2</v>
      </c>
      <c r="L86" s="105">
        <v>2.1923673924209099</v>
      </c>
      <c r="M86" s="220">
        <v>2.7999999999999997E-2</v>
      </c>
    </row>
    <row r="87" spans="2:13" x14ac:dyDescent="0.25">
      <c r="B87" s="109">
        <f t="shared" si="4"/>
        <v>43951</v>
      </c>
      <c r="C87" s="220">
        <f t="shared" si="1"/>
        <v>1.4999999999999999E-2</v>
      </c>
      <c r="D87" s="221">
        <f t="shared" si="5"/>
        <v>2.6000000000000002E-2</v>
      </c>
      <c r="L87" s="105">
        <v>1.50515947102507</v>
      </c>
      <c r="M87" s="220">
        <v>2.6000000000000002E-2</v>
      </c>
    </row>
    <row r="88" spans="2:13" x14ac:dyDescent="0.25">
      <c r="B88" s="109">
        <f t="shared" si="4"/>
        <v>43982</v>
      </c>
      <c r="C88" s="220">
        <f t="shared" si="1"/>
        <v>1.3000000000000001E-2</v>
      </c>
      <c r="D88" s="221">
        <f t="shared" si="5"/>
        <v>2.8999999999999998E-2</v>
      </c>
      <c r="L88" s="105">
        <v>1.25828996081194</v>
      </c>
      <c r="M88" s="220">
        <v>2.8999999999999998E-2</v>
      </c>
    </row>
    <row r="89" spans="2:13" x14ac:dyDescent="0.25">
      <c r="B89" s="264">
        <f t="shared" si="4"/>
        <v>44012</v>
      </c>
      <c r="C89" s="265">
        <v>0.01</v>
      </c>
      <c r="D89" s="266">
        <v>2.8000000000000001E-2</v>
      </c>
    </row>
    <row r="90" spans="2:13" x14ac:dyDescent="0.25">
      <c r="B90" s="264">
        <f t="shared" si="4"/>
        <v>44043</v>
      </c>
      <c r="C90" s="265">
        <v>8.0000000000000002E-3</v>
      </c>
      <c r="D90" s="266">
        <v>2.9000000000000001E-2</v>
      </c>
    </row>
    <row r="91" spans="2:13" x14ac:dyDescent="0.25">
      <c r="B91" s="264">
        <f t="shared" si="4"/>
        <v>44074</v>
      </c>
      <c r="C91" s="270">
        <v>1.0999999999999999E-2</v>
      </c>
      <c r="D91" s="266">
        <v>3.1E-2</v>
      </c>
      <c r="G91" s="269" t="s">
        <v>171</v>
      </c>
    </row>
    <row r="92" spans="2:13" x14ac:dyDescent="0.25">
      <c r="B92" s="264">
        <f t="shared" si="4"/>
        <v>44104</v>
      </c>
      <c r="C92" s="268">
        <v>4.0000000000000001E-3</v>
      </c>
      <c r="D92" s="266">
        <v>3.1E-2</v>
      </c>
      <c r="G92" s="105" t="s">
        <v>172</v>
      </c>
    </row>
    <row r="93" spans="2:13" x14ac:dyDescent="0.25">
      <c r="B93" s="264">
        <f t="shared" si="4"/>
        <v>44135</v>
      </c>
      <c r="C93" s="268">
        <v>5.0000000000000001E-3</v>
      </c>
      <c r="D93" s="266">
        <v>3.1E-2</v>
      </c>
      <c r="G93" s="271" t="s">
        <v>173</v>
      </c>
    </row>
    <row r="94" spans="2:13" x14ac:dyDescent="0.25">
      <c r="B94" s="264">
        <f t="shared" si="4"/>
        <v>44165</v>
      </c>
      <c r="C94" s="268">
        <v>5.0000000000000001E-3</v>
      </c>
      <c r="D94" s="266">
        <v>3.1E-2</v>
      </c>
    </row>
    <row r="95" spans="2:13" x14ac:dyDescent="0.25">
      <c r="B95" s="264">
        <f t="shared" si="4"/>
        <v>44196</v>
      </c>
      <c r="C95" s="268">
        <v>4.0000000000000001E-3</v>
      </c>
      <c r="D95" s="266">
        <v>0.03</v>
      </c>
    </row>
    <row r="96" spans="2:13" x14ac:dyDescent="0.25">
      <c r="B96" s="264">
        <f t="shared" si="4"/>
        <v>44227</v>
      </c>
      <c r="C96" s="268">
        <v>5.0000000000000001E-3</v>
      </c>
      <c r="D96" s="266">
        <v>3.2000000000000001E-2</v>
      </c>
    </row>
    <row r="97" spans="2:4" x14ac:dyDescent="0.25">
      <c r="B97" s="264"/>
      <c r="C97" s="265"/>
      <c r="D97" s="266"/>
    </row>
    <row r="98" spans="2:4" x14ac:dyDescent="0.25">
      <c r="B98" s="264"/>
      <c r="C98" s="265"/>
      <c r="D98" s="266"/>
    </row>
    <row r="99" spans="2:4" x14ac:dyDescent="0.25">
      <c r="B99" s="264"/>
      <c r="C99" s="265"/>
      <c r="D99" s="266"/>
    </row>
    <row r="100" spans="2:4" x14ac:dyDescent="0.25">
      <c r="B100" s="264"/>
      <c r="C100" s="265"/>
      <c r="D100" s="266"/>
    </row>
    <row r="101" spans="2:4" x14ac:dyDescent="0.25">
      <c r="B101" s="264"/>
    </row>
    <row r="102" spans="2:4" x14ac:dyDescent="0.25">
      <c r="B102" s="264"/>
    </row>
    <row r="103" spans="2:4" x14ac:dyDescent="0.25">
      <c r="B103" s="264"/>
    </row>
    <row r="104" spans="2:4" x14ac:dyDescent="0.25">
      <c r="B104" s="109"/>
    </row>
    <row r="105" spans="2:4" x14ac:dyDescent="0.25">
      <c r="B105" s="109"/>
    </row>
    <row r="106" spans="2:4" x14ac:dyDescent="0.25">
      <c r="B106" s="109"/>
    </row>
    <row r="107" spans="2:4" x14ac:dyDescent="0.25">
      <c r="B107" s="109"/>
    </row>
    <row r="108" spans="2:4" x14ac:dyDescent="0.25">
      <c r="B108" s="109"/>
    </row>
    <row r="109" spans="2:4" x14ac:dyDescent="0.25">
      <c r="B109" s="109"/>
    </row>
    <row r="110" spans="2:4" x14ac:dyDescent="0.25">
      <c r="B110" s="109"/>
    </row>
    <row r="111" spans="2:4" x14ac:dyDescent="0.25">
      <c r="B111" s="109"/>
    </row>
    <row r="112" spans="2:4" x14ac:dyDescent="0.25">
      <c r="B112" s="109"/>
    </row>
    <row r="113" spans="2:2" x14ac:dyDescent="0.25">
      <c r="B113" s="109"/>
    </row>
    <row r="114" spans="2:2" x14ac:dyDescent="0.25">
      <c r="B114" s="109"/>
    </row>
    <row r="115" spans="2:2" x14ac:dyDescent="0.25">
      <c r="B115" s="109"/>
    </row>
    <row r="116" spans="2:2" x14ac:dyDescent="0.25">
      <c r="B116" s="109"/>
    </row>
    <row r="117" spans="2:2" x14ac:dyDescent="0.25">
      <c r="B117" s="109"/>
    </row>
    <row r="118" spans="2:2" x14ac:dyDescent="0.25">
      <c r="B118" s="109"/>
    </row>
    <row r="119" spans="2:2" x14ac:dyDescent="0.25">
      <c r="B119" s="109"/>
    </row>
    <row r="120" spans="2:2" x14ac:dyDescent="0.25">
      <c r="B120" s="109"/>
    </row>
    <row r="121" spans="2:2" x14ac:dyDescent="0.25">
      <c r="B121" s="109"/>
    </row>
    <row r="122" spans="2:2" x14ac:dyDescent="0.25">
      <c r="B122" s="109"/>
    </row>
    <row r="123" spans="2:2" x14ac:dyDescent="0.25">
      <c r="B123" s="109"/>
    </row>
    <row r="124" spans="2:2" x14ac:dyDescent="0.25">
      <c r="B124" s="109"/>
    </row>
    <row r="125" spans="2:2" x14ac:dyDescent="0.25">
      <c r="B125" s="109"/>
    </row>
    <row r="126" spans="2:2" x14ac:dyDescent="0.25">
      <c r="B126" s="109"/>
    </row>
    <row r="127" spans="2:2" x14ac:dyDescent="0.25">
      <c r="B127" s="109"/>
    </row>
    <row r="128" spans="2:2" x14ac:dyDescent="0.25">
      <c r="B128" s="109"/>
    </row>
    <row r="129" spans="2:2" x14ac:dyDescent="0.25">
      <c r="B129" s="109"/>
    </row>
    <row r="130" spans="2:2" x14ac:dyDescent="0.25">
      <c r="B130" s="109"/>
    </row>
    <row r="131" spans="2:2" x14ac:dyDescent="0.25">
      <c r="B131" s="109"/>
    </row>
    <row r="132" spans="2:2" x14ac:dyDescent="0.25">
      <c r="B132" s="109"/>
    </row>
    <row r="133" spans="2:2" x14ac:dyDescent="0.25">
      <c r="B133" s="109"/>
    </row>
    <row r="134" spans="2:2" x14ac:dyDescent="0.25">
      <c r="B134" s="109"/>
    </row>
    <row r="135" spans="2:2" x14ac:dyDescent="0.25">
      <c r="B135" s="109"/>
    </row>
    <row r="136" spans="2:2" x14ac:dyDescent="0.25">
      <c r="B136" s="109"/>
    </row>
    <row r="137" spans="2:2" x14ac:dyDescent="0.25">
      <c r="B137" s="109"/>
    </row>
    <row r="138" spans="2:2" x14ac:dyDescent="0.25">
      <c r="B138" s="109"/>
    </row>
    <row r="139" spans="2:2" x14ac:dyDescent="0.25">
      <c r="B139" s="109"/>
    </row>
    <row r="140" spans="2:2" x14ac:dyDescent="0.25">
      <c r="B140" s="109"/>
    </row>
    <row r="141" spans="2:2" x14ac:dyDescent="0.25">
      <c r="B141" s="109"/>
    </row>
    <row r="142" spans="2:2" x14ac:dyDescent="0.25">
      <c r="B142" s="109"/>
    </row>
    <row r="143" spans="2:2" x14ac:dyDescent="0.25">
      <c r="B143" s="109"/>
    </row>
    <row r="144" spans="2:2" x14ac:dyDescent="0.25">
      <c r="B144" s="109"/>
    </row>
    <row r="145" spans="2:2" x14ac:dyDescent="0.25">
      <c r="B145" s="109"/>
    </row>
    <row r="146" spans="2:2" x14ac:dyDescent="0.25">
      <c r="B146" s="109"/>
    </row>
    <row r="147" spans="2:2" x14ac:dyDescent="0.25">
      <c r="B147" s="109"/>
    </row>
    <row r="148" spans="2:2" x14ac:dyDescent="0.25">
      <c r="B148" s="109"/>
    </row>
    <row r="149" spans="2:2" x14ac:dyDescent="0.25">
      <c r="B149" s="109"/>
    </row>
    <row r="150" spans="2:2" x14ac:dyDescent="0.25">
      <c r="B150" s="109"/>
    </row>
    <row r="151" spans="2:2" x14ac:dyDescent="0.25">
      <c r="B151" s="109"/>
    </row>
    <row r="152" spans="2:2" x14ac:dyDescent="0.25">
      <c r="B152" s="109"/>
    </row>
    <row r="153" spans="2:2" x14ac:dyDescent="0.25">
      <c r="B153" s="109"/>
    </row>
    <row r="154" spans="2:2" x14ac:dyDescent="0.25">
      <c r="B154" s="109"/>
    </row>
    <row r="155" spans="2:2" x14ac:dyDescent="0.25">
      <c r="B155" s="109"/>
    </row>
    <row r="156" spans="2:2" x14ac:dyDescent="0.25">
      <c r="B156" s="109"/>
    </row>
    <row r="157" spans="2:2" x14ac:dyDescent="0.25">
      <c r="B157" s="109"/>
    </row>
    <row r="158" spans="2:2" x14ac:dyDescent="0.25">
      <c r="B158" s="109"/>
    </row>
    <row r="159" spans="2:2" x14ac:dyDescent="0.25">
      <c r="B159" s="109"/>
    </row>
    <row r="160" spans="2:2" x14ac:dyDescent="0.25">
      <c r="B160" s="109"/>
    </row>
    <row r="161" spans="2:2" x14ac:dyDescent="0.25">
      <c r="B161" s="109"/>
    </row>
    <row r="162" spans="2:2" x14ac:dyDescent="0.25">
      <c r="B162" s="109"/>
    </row>
    <row r="163" spans="2:2" x14ac:dyDescent="0.25">
      <c r="B163" s="109"/>
    </row>
    <row r="164" spans="2:2" x14ac:dyDescent="0.25">
      <c r="B164" s="109"/>
    </row>
    <row r="165" spans="2:2" x14ac:dyDescent="0.25">
      <c r="B165" s="109"/>
    </row>
    <row r="166" spans="2:2" x14ac:dyDescent="0.25">
      <c r="B166" s="109"/>
    </row>
    <row r="167" spans="2:2" x14ac:dyDescent="0.25">
      <c r="B167" s="109"/>
    </row>
    <row r="168" spans="2:2" x14ac:dyDescent="0.25">
      <c r="B168" s="109"/>
    </row>
    <row r="169" spans="2:2" x14ac:dyDescent="0.25">
      <c r="B169" s="109"/>
    </row>
    <row r="170" spans="2:2" x14ac:dyDescent="0.25">
      <c r="B170" s="109"/>
    </row>
    <row r="171" spans="2:2" x14ac:dyDescent="0.25">
      <c r="B171" s="109"/>
    </row>
    <row r="172" spans="2:2" x14ac:dyDescent="0.25">
      <c r="B172" s="109"/>
    </row>
    <row r="173" spans="2:2" x14ac:dyDescent="0.25">
      <c r="B173" s="109"/>
    </row>
    <row r="174" spans="2:2" x14ac:dyDescent="0.25">
      <c r="B174" s="109"/>
    </row>
    <row r="175" spans="2:2" x14ac:dyDescent="0.25">
      <c r="B175" s="109"/>
    </row>
    <row r="176" spans="2:2" x14ac:dyDescent="0.25">
      <c r="B176" s="109"/>
    </row>
    <row r="177" spans="2:2" x14ac:dyDescent="0.25">
      <c r="B177" s="109"/>
    </row>
    <row r="178" spans="2:2" x14ac:dyDescent="0.25">
      <c r="B178" s="109"/>
    </row>
    <row r="179" spans="2:2" x14ac:dyDescent="0.25">
      <c r="B179" s="109"/>
    </row>
    <row r="180" spans="2:2" x14ac:dyDescent="0.25">
      <c r="B180" s="109"/>
    </row>
    <row r="181" spans="2:2" x14ac:dyDescent="0.25">
      <c r="B181" s="109"/>
    </row>
    <row r="182" spans="2:2" x14ac:dyDescent="0.25">
      <c r="B182" s="109"/>
    </row>
    <row r="183" spans="2:2" x14ac:dyDescent="0.25">
      <c r="B183" s="109"/>
    </row>
    <row r="184" spans="2:2" x14ac:dyDescent="0.25">
      <c r="B184" s="109"/>
    </row>
    <row r="185" spans="2:2" x14ac:dyDescent="0.25">
      <c r="B185" s="109"/>
    </row>
    <row r="186" spans="2:2" x14ac:dyDescent="0.25">
      <c r="B186" s="109"/>
    </row>
    <row r="187" spans="2:2" x14ac:dyDescent="0.25">
      <c r="B187" s="109"/>
    </row>
    <row r="188" spans="2:2" x14ac:dyDescent="0.25">
      <c r="B188" s="109"/>
    </row>
    <row r="189" spans="2:2" x14ac:dyDescent="0.25">
      <c r="B189" s="109"/>
    </row>
    <row r="190" spans="2:2" x14ac:dyDescent="0.25">
      <c r="B190" s="109"/>
    </row>
    <row r="191" spans="2:2" x14ac:dyDescent="0.25">
      <c r="B191" s="109"/>
    </row>
    <row r="192" spans="2:2" x14ac:dyDescent="0.25">
      <c r="B192" s="109"/>
    </row>
    <row r="193" spans="2:2" x14ac:dyDescent="0.25">
      <c r="B193" s="109"/>
    </row>
    <row r="194" spans="2:2" x14ac:dyDescent="0.25">
      <c r="B194" s="109"/>
    </row>
    <row r="195" spans="2:2" x14ac:dyDescent="0.25">
      <c r="B195" s="109"/>
    </row>
    <row r="196" spans="2:2" x14ac:dyDescent="0.25">
      <c r="B196" s="109"/>
    </row>
    <row r="197" spans="2:2" x14ac:dyDescent="0.25">
      <c r="B197" s="109"/>
    </row>
    <row r="198" spans="2:2" x14ac:dyDescent="0.25">
      <c r="B198" s="109"/>
    </row>
    <row r="199" spans="2:2" x14ac:dyDescent="0.25">
      <c r="B199" s="109"/>
    </row>
    <row r="200" spans="2:2" x14ac:dyDescent="0.25">
      <c r="B200" s="109"/>
    </row>
    <row r="201" spans="2:2" x14ac:dyDescent="0.25">
      <c r="B201" s="109"/>
    </row>
    <row r="202" spans="2:2" x14ac:dyDescent="0.25">
      <c r="B202" s="109"/>
    </row>
    <row r="203" spans="2:2" x14ac:dyDescent="0.25">
      <c r="B203" s="109"/>
    </row>
    <row r="204" spans="2:2" x14ac:dyDescent="0.25">
      <c r="B204" s="109"/>
    </row>
    <row r="205" spans="2:2" x14ac:dyDescent="0.25">
      <c r="B205" s="109"/>
    </row>
    <row r="206" spans="2:2" x14ac:dyDescent="0.25">
      <c r="B206" s="109"/>
    </row>
    <row r="207" spans="2:2" x14ac:dyDescent="0.25">
      <c r="B207" s="109"/>
    </row>
    <row r="208" spans="2:2" x14ac:dyDescent="0.25">
      <c r="B208" s="109"/>
    </row>
    <row r="209" spans="2:2" x14ac:dyDescent="0.25">
      <c r="B209" s="109"/>
    </row>
    <row r="210" spans="2:2" x14ac:dyDescent="0.25">
      <c r="B210" s="109"/>
    </row>
    <row r="211" spans="2:2" x14ac:dyDescent="0.25">
      <c r="B211" s="109"/>
    </row>
    <row r="212" spans="2:2" x14ac:dyDescent="0.25">
      <c r="B212" s="109"/>
    </row>
    <row r="213" spans="2:2" x14ac:dyDescent="0.25">
      <c r="B213" s="109"/>
    </row>
    <row r="214" spans="2:2" x14ac:dyDescent="0.25">
      <c r="B214" s="109"/>
    </row>
    <row r="215" spans="2:2" x14ac:dyDescent="0.25">
      <c r="B215" s="109"/>
    </row>
    <row r="216" spans="2:2" x14ac:dyDescent="0.25">
      <c r="B216" s="109"/>
    </row>
    <row r="217" spans="2:2" x14ac:dyDescent="0.25">
      <c r="B217" s="109"/>
    </row>
    <row r="218" spans="2:2" x14ac:dyDescent="0.25">
      <c r="B218" s="109"/>
    </row>
    <row r="219" spans="2:2" x14ac:dyDescent="0.25">
      <c r="B219" s="109"/>
    </row>
    <row r="220" spans="2:2" x14ac:dyDescent="0.25">
      <c r="B220" s="109"/>
    </row>
    <row r="221" spans="2:2" x14ac:dyDescent="0.25">
      <c r="B221" s="109"/>
    </row>
    <row r="222" spans="2:2" x14ac:dyDescent="0.25">
      <c r="B222" s="109"/>
    </row>
    <row r="223" spans="2:2" x14ac:dyDescent="0.25">
      <c r="B223" s="109"/>
    </row>
    <row r="224" spans="2:2" x14ac:dyDescent="0.25">
      <c r="B224" s="109"/>
    </row>
    <row r="225" spans="2:2" x14ac:dyDescent="0.25">
      <c r="B225" s="109"/>
    </row>
    <row r="226" spans="2:2" x14ac:dyDescent="0.25">
      <c r="B226" s="109"/>
    </row>
    <row r="227" spans="2:2" x14ac:dyDescent="0.25">
      <c r="B227" s="109"/>
    </row>
    <row r="228" spans="2:2" x14ac:dyDescent="0.25">
      <c r="B228" s="109"/>
    </row>
    <row r="229" spans="2:2" x14ac:dyDescent="0.25">
      <c r="B229" s="109"/>
    </row>
    <row r="230" spans="2:2" x14ac:dyDescent="0.25">
      <c r="B230" s="109"/>
    </row>
    <row r="231" spans="2:2" x14ac:dyDescent="0.25">
      <c r="B231" s="109"/>
    </row>
    <row r="232" spans="2:2" x14ac:dyDescent="0.25">
      <c r="B232" s="109"/>
    </row>
    <row r="233" spans="2:2" x14ac:dyDescent="0.25">
      <c r="B233" s="109"/>
    </row>
    <row r="234" spans="2:2" x14ac:dyDescent="0.25">
      <c r="B234" s="109"/>
    </row>
  </sheetData>
  <mergeCells count="1">
    <mergeCell ref="F41:J42"/>
  </mergeCells>
  <hyperlinks>
    <hyperlink ref="L37" r:id="rId1" display="../../../../:x:/t/Baptist863/Eb5-OMJxEJNPigzM2NlxO_gBTQmAjon2Uz5kuEuNg6WWRw?e=idNSRr" xr:uid="{11B98AC7-263E-443F-B6A8-D9D92350AE23}"/>
    <hyperlink ref="M37" r:id="rId2" display="../../../../:x:/t/Baptist863/EeQsQA_ako9Fgj2Sin9gzYgBjZV_RG6vwO3s4HnLNyacEQ?e=wXosg8" xr:uid="{D26553F5-0116-4BE2-B2CB-0CEA61DB4B43}"/>
  </hyperlinks>
  <pageMargins left="0.7" right="0.7" top="0.75" bottom="0.75" header="0.3" footer="0.3"/>
  <pageSetup paperSize="9" orientation="portrait" r:id="rId3"/>
  <headerFooter>
    <oddFooter>&amp;L&amp;"Arial,Regular"&amp;8ear &amp;D &amp;T
Lane Clark &amp;&amp; Peacock Page &amp;P of &amp;N&amp;R&amp;"Arial,Regular"&amp;8&amp;Z&amp;F[&amp;A]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3"/>
  <sheetViews>
    <sheetView workbookViewId="0">
      <selection activeCell="A60" sqref="A60:D60"/>
    </sheetView>
  </sheetViews>
  <sheetFormatPr defaultRowHeight="13.2" x14ac:dyDescent="0.25"/>
  <cols>
    <col min="1" max="3" width="12.88671875" customWidth="1"/>
  </cols>
  <sheetData>
    <row r="1" spans="1:3" x14ac:dyDescent="0.25">
      <c r="A1" s="144" t="s">
        <v>129</v>
      </c>
      <c r="B1" s="144" t="s">
        <v>26</v>
      </c>
      <c r="C1" s="144" t="s">
        <v>131</v>
      </c>
    </row>
    <row r="2" spans="1:3" x14ac:dyDescent="0.25">
      <c r="A2">
        <v>1.4</v>
      </c>
      <c r="B2" s="143">
        <v>43123</v>
      </c>
      <c r="C2" t="s">
        <v>130</v>
      </c>
    </row>
    <row r="3" spans="1:3" x14ac:dyDescent="0.25">
      <c r="A3" s="145" t="s">
        <v>133</v>
      </c>
      <c r="B3" s="143">
        <v>43216</v>
      </c>
      <c r="C3" t="s">
        <v>134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D8E64E611C1344A93DE29F4969D519C" ma:contentTypeVersion="11" ma:contentTypeDescription="Create a new document." ma:contentTypeScope="" ma:versionID="2080f42b210e11784f7a933f7f7aa357">
  <xsd:schema xmlns:xsd="http://www.w3.org/2001/XMLSchema" xmlns:xs="http://www.w3.org/2001/XMLSchema" xmlns:p="http://schemas.microsoft.com/office/2006/metadata/properties" xmlns:ns2="6fe655dc-3ddd-4311-ab2f-319d0473ddd7" xmlns:ns3="29473fe5-afb5-4774-802b-63b283338ac2" targetNamespace="http://schemas.microsoft.com/office/2006/metadata/properties" ma:root="true" ma:fieldsID="c3445e2a363ce79d78ea9030fdd88815" ns2:_="" ns3:_="">
    <xsd:import namespace="6fe655dc-3ddd-4311-ab2f-319d0473ddd7"/>
    <xsd:import namespace="29473fe5-afb5-4774-802b-63b283338a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e655dc-3ddd-4311-ab2f-319d0473dd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9473fe5-afb5-4774-802b-63b283338a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440A54-7A16-419E-B6BC-5430C4C70357}">
  <ds:schemaRefs>
    <ds:schemaRef ds:uri="29473fe5-afb5-4774-802b-63b283338ac2"/>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6fe655dc-3ddd-4311-ab2f-319d0473ddd7"/>
    <ds:schemaRef ds:uri="http://www.w3.org/XML/1998/namespace"/>
    <ds:schemaRef ds:uri="http://purl.org/dc/dcmitype/"/>
  </ds:schemaRefs>
</ds:datastoreItem>
</file>

<file path=customXml/itemProps2.xml><?xml version="1.0" encoding="utf-8"?>
<ds:datastoreItem xmlns:ds="http://schemas.openxmlformats.org/officeDocument/2006/customXml" ds:itemID="{4896C439-CF04-4B0F-BA45-D99042E93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e655dc-3ddd-4311-ab2f-319d0473ddd7"/>
    <ds:schemaRef ds:uri="29473fe5-afb5-4774-802b-63b283338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BD1BEC-2DDE-4D23-9E34-CDEF053D72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30</vt:i4>
      </vt:variant>
    </vt:vector>
  </HeadingPairs>
  <TitlesOfParts>
    <vt:vector size="39" baseType="lpstr">
      <vt:lpstr>Instructions</vt:lpstr>
      <vt:lpstr>Inputs</vt:lpstr>
      <vt:lpstr>Disclosure</vt:lpstr>
      <vt:lpstr>Basis</vt:lpstr>
      <vt:lpstr>Calcs - accounting date</vt:lpstr>
      <vt:lpstr>Calcs - accounting date prev</vt:lpstr>
      <vt:lpstr>Calcs - accounting date prev2</vt:lpstr>
      <vt:lpstr>Yields</vt:lpstr>
      <vt:lpstr>Version history</vt:lpstr>
      <vt:lpstr>Accounting_date</vt:lpstr>
      <vt:lpstr>Accounting_date_prev</vt:lpstr>
      <vt:lpstr>Accounting_date_prev2</vt:lpstr>
      <vt:lpstr>Current_year_DRCs</vt:lpstr>
      <vt:lpstr>DR</vt:lpstr>
      <vt:lpstr>DR_prev</vt:lpstr>
      <vt:lpstr>DR_prev2</vt:lpstr>
      <vt:lpstr>DR_yields</vt:lpstr>
      <vt:lpstr>first_month</vt:lpstr>
      <vt:lpstr>first_month_DRCs</vt:lpstr>
      <vt:lpstr>first_month_DRCs_prevyr</vt:lpstr>
      <vt:lpstr>first_month_DRCs_prevyr2</vt:lpstr>
      <vt:lpstr>first_month_prev</vt:lpstr>
      <vt:lpstr>first_month_prev2</vt:lpstr>
      <vt:lpstr>Inflation</vt:lpstr>
      <vt:lpstr>Inflation_prev</vt:lpstr>
      <vt:lpstr>Inflation_prev2</vt:lpstr>
      <vt:lpstr>Inflation_yields</vt:lpstr>
      <vt:lpstr>Liability</vt:lpstr>
      <vt:lpstr>Liability_prev</vt:lpstr>
      <vt:lpstr>Liability_prev2</vt:lpstr>
      <vt:lpstr>percentage_cont</vt:lpstr>
      <vt:lpstr>Prev_year_DRCs</vt:lpstr>
      <vt:lpstr>'Calcs - accounting date'!Print_Area</vt:lpstr>
      <vt:lpstr>'Calcs - accounting date prev'!Print_Area</vt:lpstr>
      <vt:lpstr>'Calcs - accounting date prev2'!Print_Area</vt:lpstr>
      <vt:lpstr>Disclosure!Print_Area</vt:lpstr>
      <vt:lpstr>Inputs!Print_Area</vt:lpstr>
      <vt:lpstr>Instructions!Print_Area</vt:lpstr>
      <vt:lpstr>Yield_dates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Lucie Harris (LCP)</dc:creator>
  <cp:lastModifiedBy>Jon Forsyth (LCP)</cp:lastModifiedBy>
  <cp:lastPrinted>2018-04-26T15:20:06Z</cp:lastPrinted>
  <dcterms:created xsi:type="dcterms:W3CDTF">2011-10-12T08:52:50Z</dcterms:created>
  <dcterms:modified xsi:type="dcterms:W3CDTF">2021-02-28T15:57:22Z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0x010100DD8E64E611C1344A93DE29F4969D519C</vt:lpwstr>
  </property>
</Properties>
</file>